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5440" windowHeight="15990" firstSheet="1" activeTab="1"/>
  </bookViews>
  <sheets>
    <sheet name="begroting 2022" sheetId="1" state="hidden" r:id="rId1"/>
    <sheet name="Cijfers 2024" sheetId="2" r:id="rId2"/>
    <sheet name="Nationale wedstrijden" sheetId="13" r:id="rId3"/>
    <sheet name="OLA" sheetId="14" r:id="rId4"/>
    <sheet name="Ledenaantallen" sheetId="3" r:id="rId5"/>
    <sheet name="NC" sheetId="4" state="hidden" r:id="rId6"/>
    <sheet name="2021" sheetId="5" state="hidden" r:id="rId7"/>
    <sheet name="Vertaaltabel" sheetId="9" r:id="rId8"/>
    <sheet name="Balans 21&amp;22" sheetId="7" state="hidden" r:id="rId9"/>
    <sheet name="W&amp;V 21&amp;22&amp;23" sheetId="8" state="hidden" r:id="rId10"/>
    <sheet name="W&amp;V 23-24" sheetId="16" r:id="rId11"/>
    <sheet name="Draaitabel 2024" sheetId="10" r:id="rId12"/>
    <sheet name="DT 2021" sheetId="6" state="hidden" r:id="rId13"/>
  </sheets>
  <externalReferences>
    <externalReference r:id="rId14"/>
  </externalReferences>
  <definedNames>
    <definedName name="_xlnm._FilterDatabase" localSheetId="6" hidden="1">'2021'!$A$1:$M$149</definedName>
    <definedName name="_xlnm._FilterDatabase" localSheetId="7" hidden="1">Vertaaltabel!$A$1:$C$110</definedName>
    <definedName name="_xlnm._FilterDatabase" localSheetId="9" hidden="1">'W&amp;V 21&amp;22&amp;23'!$A$1:$G$120</definedName>
    <definedName name="_xlnm._FilterDatabase" localSheetId="10" hidden="1">'W&amp;V 23-24'!$A$1:$I$114</definedName>
  </definedNames>
  <calcPr calcId="191029"/>
  <pivotCaches>
    <pivotCache cacheId="0" r:id="rId15"/>
    <pivotCache cacheId="1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2"/>
  <c r="V10"/>
  <c r="T10"/>
  <c r="B11" i="13"/>
  <c r="X7" i="2" l="1"/>
  <c r="V7"/>
  <c r="T7"/>
  <c r="R7"/>
  <c r="P7" i="3"/>
  <c r="O7"/>
  <c r="N7"/>
  <c r="M7"/>
  <c r="L7"/>
  <c r="K7"/>
  <c r="J7"/>
  <c r="I7"/>
  <c r="G14"/>
  <c r="T15" i="2"/>
  <c r="V15" s="1"/>
  <c r="X15" s="1"/>
  <c r="W31"/>
  <c r="R31"/>
  <c r="T31" s="1"/>
  <c r="V31" s="1"/>
  <c r="X31" s="1"/>
  <c r="Q8"/>
  <c r="S8"/>
  <c r="J15" i="3" l="1"/>
  <c r="J16"/>
  <c r="J17"/>
  <c r="J19"/>
  <c r="J14"/>
  <c r="I15"/>
  <c r="I16"/>
  <c r="I17"/>
  <c r="I19"/>
  <c r="I14"/>
  <c r="H15"/>
  <c r="H16"/>
  <c r="H17"/>
  <c r="H19"/>
  <c r="H14"/>
  <c r="G15"/>
  <c r="G16"/>
  <c r="G17"/>
  <c r="G19"/>
  <c r="I9"/>
  <c r="H11"/>
  <c r="G10"/>
  <c r="H10"/>
  <c r="F10"/>
  <c r="E9"/>
  <c r="F9"/>
  <c r="G9"/>
  <c r="H9"/>
  <c r="G7"/>
  <c r="G6"/>
  <c r="G5"/>
  <c r="G4"/>
  <c r="G3"/>
  <c r="H7"/>
  <c r="H3"/>
  <c r="H4"/>
  <c r="H5"/>
  <c r="H6"/>
  <c r="B9" i="13"/>
  <c r="B4"/>
  <c r="Y35" i="2"/>
  <c r="Y13"/>
  <c r="W35"/>
  <c r="W13"/>
  <c r="U35"/>
  <c r="U13"/>
  <c r="P8"/>
  <c r="P15"/>
  <c r="O13"/>
  <c r="N13"/>
  <c r="P28"/>
  <c r="P18"/>
  <c r="P17"/>
  <c r="P16"/>
  <c r="P7"/>
  <c r="P10"/>
  <c r="P9"/>
  <c r="Q32"/>
  <c r="Q33"/>
  <c r="Q31"/>
  <c r="P19"/>
  <c r="P20"/>
  <c r="P21"/>
  <c r="P22"/>
  <c r="P23"/>
  <c r="P24"/>
  <c r="P25"/>
  <c r="P26"/>
  <c r="P27"/>
  <c r="A8" i="16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4"/>
  <c r="A5"/>
  <c r="A6"/>
  <c r="A7"/>
  <c r="A3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3"/>
  <c r="D120" i="8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2"/>
  <c r="G18" i="3" l="1"/>
  <c r="G20" s="1"/>
  <c r="G22" s="1"/>
  <c r="Y37" i="2"/>
  <c r="U37"/>
  <c r="W37"/>
  <c r="K9" i="3"/>
  <c r="H18"/>
  <c r="H20" s="1"/>
  <c r="H22" s="1"/>
  <c r="T13" i="2" s="1"/>
  <c r="J9" i="3"/>
  <c r="R47" i="2"/>
  <c r="E5" i="3"/>
  <c r="E4"/>
  <c r="E3"/>
  <c r="E6"/>
  <c r="E7"/>
  <c r="F6"/>
  <c r="F5"/>
  <c r="F4"/>
  <c r="F3"/>
  <c r="F7"/>
  <c r="C18"/>
  <c r="D18" s="1"/>
  <c r="D7"/>
  <c r="C7"/>
  <c r="A88" i="8"/>
  <c r="L9" i="3" l="1"/>
  <c r="F18"/>
  <c r="R18" i="2"/>
  <c r="C2" i="14"/>
  <c r="I18" i="3" l="1"/>
  <c r="I20" s="1"/>
  <c r="I22" s="1"/>
  <c r="V13" i="2" s="1"/>
  <c r="M9" i="3"/>
  <c r="T18" i="2"/>
  <c r="T35" l="1"/>
  <c r="T37" s="1"/>
  <c r="U39" s="1"/>
  <c r="V18"/>
  <c r="X18" s="1"/>
  <c r="N9" i="3"/>
  <c r="M8" i="2"/>
  <c r="Q13"/>
  <c r="E120" i="8"/>
  <c r="A91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2"/>
  <c r="A73"/>
  <c r="A74"/>
  <c r="A75"/>
  <c r="A76"/>
  <c r="A77"/>
  <c r="A78"/>
  <c r="A79"/>
  <c r="A80"/>
  <c r="A81"/>
  <c r="A82"/>
  <c r="A83"/>
  <c r="A84"/>
  <c r="A85"/>
  <c r="A86"/>
  <c r="A87"/>
  <c r="A89"/>
  <c r="A90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2"/>
  <c r="G120"/>
  <c r="F120"/>
  <c r="L7" i="2"/>
  <c r="L17"/>
  <c r="L16"/>
  <c r="L15"/>
  <c r="L24"/>
  <c r="M33"/>
  <c r="L22"/>
  <c r="L18"/>
  <c r="L20"/>
  <c r="L28"/>
  <c r="L19"/>
  <c r="M29"/>
  <c r="L21"/>
  <c r="L25"/>
  <c r="L10"/>
  <c r="V35" l="1"/>
  <c r="V37" s="1"/>
  <c r="W39" s="1"/>
  <c r="X35"/>
  <c r="O9" i="3"/>
  <c r="P9"/>
  <c r="Q35" i="2"/>
  <c r="Q37" s="1"/>
  <c r="P35"/>
  <c r="J18" i="3" l="1"/>
  <c r="J20" s="1"/>
  <c r="J22" s="1"/>
  <c r="X13" i="2" s="1"/>
  <c r="X37" s="1"/>
  <c r="Y39" s="1"/>
  <c r="K35"/>
  <c r="J35"/>
  <c r="K13"/>
  <c r="J13"/>
  <c r="N9" i="1"/>
  <c r="M32" i="2"/>
  <c r="L27"/>
  <c r="M31"/>
  <c r="L23"/>
  <c r="L26"/>
  <c r="K37" l="1"/>
  <c r="J37"/>
  <c r="K39" l="1"/>
  <c r="I15" l="1"/>
  <c r="H22"/>
  <c r="H19"/>
  <c r="D3" i="6"/>
  <c r="H24" i="2" s="1"/>
  <c r="D4" i="6"/>
  <c r="H29" i="2" s="1"/>
  <c r="D5" i="6"/>
  <c r="D6"/>
  <c r="H17" i="2" s="1"/>
  <c r="D7" i="6"/>
  <c r="H21" i="2" s="1"/>
  <c r="D8" i="6"/>
  <c r="H28" i="2" s="1"/>
  <c r="D9" i="6"/>
  <c r="I32" i="2" s="1"/>
  <c r="D10" i="6"/>
  <c r="D11"/>
  <c r="H16" i="2" s="1"/>
  <c r="D12" i="6"/>
  <c r="I31" i="2" s="1"/>
  <c r="D13" i="6"/>
  <c r="H27" i="2" s="1"/>
  <c r="D14" i="6"/>
  <c r="H18" i="2" s="1"/>
  <c r="D15" i="6"/>
  <c r="D16"/>
  <c r="D17"/>
  <c r="H23" i="2" s="1"/>
  <c r="D18" i="6"/>
  <c r="D19"/>
  <c r="H26" i="2" s="1"/>
  <c r="D20" i="6"/>
  <c r="D21"/>
  <c r="I33" i="2" s="1"/>
  <c r="D22" i="6"/>
  <c r="H20" i="2" s="1"/>
  <c r="D23" i="6"/>
  <c r="D2"/>
  <c r="H25" i="2" s="1"/>
  <c r="H7"/>
  <c r="H8"/>
  <c r="I8"/>
  <c r="H10"/>
  <c r="L28" i="5"/>
  <c r="L33" s="1"/>
  <c r="G147"/>
  <c r="F147"/>
  <c r="G33"/>
  <c r="F33"/>
  <c r="D33"/>
  <c r="C33"/>
  <c r="D147"/>
  <c r="C147"/>
  <c r="H15" i="2" l="1"/>
  <c r="G149" i="5"/>
  <c r="F35"/>
  <c r="F36" s="1"/>
  <c r="D34"/>
  <c r="D36" s="1"/>
  <c r="L36" s="1"/>
  <c r="C148"/>
  <c r="I13" i="2" l="1"/>
  <c r="D4" i="4"/>
  <c r="D5"/>
  <c r="D7" s="1"/>
  <c r="D6"/>
  <c r="D3"/>
  <c r="C19" i="3"/>
  <c r="D19" s="1"/>
  <c r="F19" s="1"/>
  <c r="C17"/>
  <c r="D17" s="1"/>
  <c r="F17" s="1"/>
  <c r="C16"/>
  <c r="D16" s="1"/>
  <c r="F16" s="1"/>
  <c r="C15"/>
  <c r="D15" s="1"/>
  <c r="F15" s="1"/>
  <c r="C14"/>
  <c r="D14" s="1"/>
  <c r="C9"/>
  <c r="D9"/>
  <c r="M35" i="2"/>
  <c r="L35"/>
  <c r="M13"/>
  <c r="L13"/>
  <c r="I35"/>
  <c r="H35"/>
  <c r="H13"/>
  <c r="G35"/>
  <c r="F35"/>
  <c r="E31"/>
  <c r="E35" s="1"/>
  <c r="D16"/>
  <c r="D35" s="1"/>
  <c r="S13"/>
  <c r="G13"/>
  <c r="F13"/>
  <c r="E13"/>
  <c r="D13"/>
  <c r="D11" i="1"/>
  <c r="D35" s="1"/>
  <c r="E11"/>
  <c r="F11"/>
  <c r="G11"/>
  <c r="H11"/>
  <c r="I11"/>
  <c r="I35" s="1"/>
  <c r="I37" s="1"/>
  <c r="J11"/>
  <c r="K11"/>
  <c r="L11"/>
  <c r="M11"/>
  <c r="N11"/>
  <c r="O11"/>
  <c r="P11"/>
  <c r="Q11"/>
  <c r="N13"/>
  <c r="O13"/>
  <c r="P13"/>
  <c r="P33" s="1"/>
  <c r="P35" s="1"/>
  <c r="Q13"/>
  <c r="D14"/>
  <c r="D33" s="1"/>
  <c r="H14"/>
  <c r="J14"/>
  <c r="N15"/>
  <c r="P15" s="1"/>
  <c r="N18"/>
  <c r="P18"/>
  <c r="N20"/>
  <c r="P20"/>
  <c r="E29"/>
  <c r="E33" s="1"/>
  <c r="E35" s="1"/>
  <c r="O29"/>
  <c r="O33" s="1"/>
  <c r="O35" s="1"/>
  <c r="Q29"/>
  <c r="Q33" s="1"/>
  <c r="Q35" s="1"/>
  <c r="F33"/>
  <c r="G33"/>
  <c r="H33"/>
  <c r="I33"/>
  <c r="J33"/>
  <c r="K33"/>
  <c r="L33"/>
  <c r="L35" s="1"/>
  <c r="M37" s="1"/>
  <c r="M33"/>
  <c r="F35"/>
  <c r="G35"/>
  <c r="G37" s="1"/>
  <c r="H35"/>
  <c r="J35"/>
  <c r="K35"/>
  <c r="M35"/>
  <c r="K37"/>
  <c r="Q79"/>
  <c r="E14" i="3" l="1"/>
  <c r="F14"/>
  <c r="F20" s="1"/>
  <c r="G37" i="2"/>
  <c r="L37"/>
  <c r="I37"/>
  <c r="D37"/>
  <c r="M37"/>
  <c r="H37"/>
  <c r="E37"/>
  <c r="E39" s="1"/>
  <c r="F37"/>
  <c r="N35"/>
  <c r="S35"/>
  <c r="S37" s="1"/>
  <c r="R35"/>
  <c r="O35"/>
  <c r="O37" s="1"/>
  <c r="E37" i="1"/>
  <c r="Q37"/>
  <c r="N33"/>
  <c r="N35" s="1"/>
  <c r="O37" s="1"/>
  <c r="G39" i="2" l="1"/>
  <c r="M39"/>
  <c r="I39"/>
  <c r="E18" i="3" l="1"/>
  <c r="E19"/>
  <c r="E15" l="1"/>
  <c r="E17"/>
  <c r="E16"/>
  <c r="E20" l="1"/>
  <c r="P13" i="2" s="1"/>
  <c r="P37" s="1"/>
  <c r="Q39" s="1"/>
  <c r="N37" l="1"/>
  <c r="O39" s="1"/>
  <c r="R13"/>
  <c r="R37" s="1"/>
  <c r="S39" s="1"/>
</calcChain>
</file>

<file path=xl/sharedStrings.xml><?xml version="1.0" encoding="utf-8"?>
<sst xmlns="http://schemas.openxmlformats.org/spreadsheetml/2006/main" count="1189" uniqueCount="581">
  <si>
    <t>- andere investeringen (zoals website) kunnen we opnemen bij de post 'MJP'.</t>
  </si>
  <si>
    <t>- voor het NK Algemeen is 10K en voor het NK vrouwen is 5K gereserveerd;</t>
  </si>
  <si>
    <t>- Dit geldt ook voor de topsportbijdrage van de topspelers;</t>
  </si>
  <si>
    <t>- Ook de btw op de factuur voor de nationale competitie wordt aan de clubs doorberekend;</t>
  </si>
  <si>
    <t>- verwachting is dat de contributie met circa 4,50 euro (12%) moet worden verhoogd;</t>
  </si>
  <si>
    <t>- in de jaren 2023 en 2024 zullen we de BTW verhoging van max. 22K extra in rekening brengen;</t>
  </si>
  <si>
    <t>Voorstel voor een meerjarenbegroting met alleen de reguliere kosten</t>
  </si>
  <si>
    <t>Kolom I, J, K en L</t>
  </si>
  <si>
    <t>- voor het NK Algemeen is 10K en voor het NK vrouwen is 5K gereserveerd.</t>
  </si>
  <si>
    <t>- alle toernooien gaan weer als vanouds door (Topsport, EjK, WjK en schooldammen).</t>
  </si>
  <si>
    <t>- De algemene subsidie wordt verhoogd naar 50K;</t>
  </si>
  <si>
    <t>- Waar ik eerder rekening hield met een verlies van max. 22K zal dit nu 13K zijn (vanwege de overgangsregeling);</t>
  </si>
  <si>
    <t xml:space="preserve">   jaar van 2022 in 2021 wordt betaald hoeven wij hierover geen btw af te dragen. Dit scheelt ons circa 10K.</t>
  </si>
  <si>
    <t>- De belastingdienst is met een overgangregeling gekomen: als wij zorgen dat de contributie van het eerste half</t>
  </si>
  <si>
    <t>- De invoering van de BTW neemt de KNDB voor eigen rekening;</t>
  </si>
  <si>
    <t>Uitgangspunten:</t>
  </si>
  <si>
    <t>Voorstel begroting voor 2022</t>
  </si>
  <si>
    <t>Kolom G en H</t>
  </si>
  <si>
    <t>- (15) terugbetaling van 10K subsidie (topsport).</t>
  </si>
  <si>
    <t>- (15) extra kosten voor gebruik ruimte op Papendal;</t>
  </si>
  <si>
    <t>- (5) een reserve voor juridisch / advieskosten;</t>
  </si>
  <si>
    <t>In 2021 hou ik rekening met de volgende (financiele) tegenvallers (afwijkend van de begroting):</t>
  </si>
  <si>
    <t>- (21) een vrijval van het vakantiegeld - de reservering in vorige jaren was te hoog.</t>
  </si>
  <si>
    <t>- (12) veel internationale wedstrijden (topsport) niet door zijn gegaan;</t>
  </si>
  <si>
    <t>- (11) het EjK niet is doorgegaan;</t>
  </si>
  <si>
    <t>- (19) geen geld aan schooldammen hebben uitgegeven;</t>
  </si>
  <si>
    <t>- (18) wij vanwege corona minder reiskosten hebben;</t>
  </si>
  <si>
    <t>- (7) het NK sneldammen niet is doorgegaan;</t>
  </si>
  <si>
    <t>- (5) de kantoorkosten lager zijn vanwege een lagere doorbelasting vanuit het sportcluster;</t>
  </si>
  <si>
    <t>- (4) de loonkosten topsport lager zijn dan begroot (wisseling Clerc - Baljakin);</t>
  </si>
  <si>
    <t>- (2) de algemene subsidie met 5.000 wordt verhoogd;</t>
  </si>
  <si>
    <t>In 2021 hou ik rekening met de volgende (financiele) meevallers (afwijkend van de begroting):</t>
  </si>
  <si>
    <t>De inschatting (prognose) voor heel 2021 waarbij ik een overschot van circa 10.000 euro verwacht</t>
  </si>
  <si>
    <t>Kolom E en F</t>
  </si>
  <si>
    <t>De goedgekeurde begroting van 2021</t>
  </si>
  <si>
    <t>Kolom C en D</t>
  </si>
  <si>
    <t>de werkelijke cijfers van 2020</t>
  </si>
  <si>
    <t>Kolom A en B</t>
  </si>
  <si>
    <t>Toelichting op de kolommen:</t>
  </si>
  <si>
    <t>Opmerkingen:</t>
  </si>
  <si>
    <t>Totaal algemeen en topsport</t>
  </si>
  <si>
    <t>Resultaat (negatief is verlies)</t>
  </si>
  <si>
    <t>totaal kosten</t>
  </si>
  <si>
    <t>kosten minus eigen bijdrage deeln.</t>
  </si>
  <si>
    <t>Topsport</t>
  </si>
  <si>
    <t>coaching bij wedstijden</t>
  </si>
  <si>
    <t>Internationale wedst Senioren</t>
  </si>
  <si>
    <t>Accountantskst en verzekeringen</t>
  </si>
  <si>
    <t>Kantoorkosten (topsport)</t>
  </si>
  <si>
    <t>MJP</t>
  </si>
  <si>
    <t>Opheffing WCDA</t>
  </si>
  <si>
    <t>Bijzondere baten en lasten</t>
  </si>
  <si>
    <t>Internationale Jeugdwedst</t>
  </si>
  <si>
    <t>Nationale Jeugdwedstrijden</t>
  </si>
  <si>
    <t>Schooldammen</t>
  </si>
  <si>
    <t>o.a. afboeking Bondswinkel</t>
  </si>
  <si>
    <t>afschrijvingen</t>
  </si>
  <si>
    <t>Zaalhuur en declaraties kilometers</t>
  </si>
  <si>
    <t>Bestuur/BR/commissies</t>
  </si>
  <si>
    <t>Promotie</t>
  </si>
  <si>
    <t>Onderhoud en hosting websites</t>
  </si>
  <si>
    <t>Internet</t>
  </si>
  <si>
    <t>contract loopt t/m 2026</t>
  </si>
  <si>
    <t>Huur bondsbureau</t>
  </si>
  <si>
    <t>Training CJT,CAT,CPT en CMT</t>
  </si>
  <si>
    <t>breedtesport activiteiten</t>
  </si>
  <si>
    <t>Projecten en VO</t>
  </si>
  <si>
    <t>NK alg, vrouwen &amp; sneldammen</t>
  </si>
  <si>
    <t>Nationale wedst. Senioren</t>
  </si>
  <si>
    <t>Drukken, verzenden &amp; content</t>
  </si>
  <si>
    <t>Damspel</t>
  </si>
  <si>
    <t>o.a. kosten vh Cluster / Juridische.kst</t>
  </si>
  <si>
    <t>Kantoorkosten (algemeen)</t>
  </si>
  <si>
    <t>Brutosalaris, sociale lst, pensioenen e.d.</t>
  </si>
  <si>
    <t>Salarissen</t>
  </si>
  <si>
    <t>totale opbrengsten</t>
  </si>
  <si>
    <t>Opbrengsten minus kosten</t>
  </si>
  <si>
    <t>Opbrengsten NC</t>
  </si>
  <si>
    <t>NOC/NSF</t>
  </si>
  <si>
    <t>Subsidies NOC/NSF</t>
  </si>
  <si>
    <t>Contributie leden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</si>
  <si>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</si>
  <si>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</si>
  <si>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</si>
  <si>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</si>
  <si>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</si>
  <si>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</si>
  <si>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</si>
  <si>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</si>
  <si>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</si>
  <si>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</si>
  <si>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</si>
  <si>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 xml:space="preserve">A </t>
  </si>
  <si>
    <t>Algemeen</t>
  </si>
  <si>
    <t>toelichting</t>
  </si>
  <si>
    <t>Verdeling verkort</t>
  </si>
  <si>
    <t>begroting 2024</t>
  </si>
  <si>
    <t>begroting 2023</t>
  </si>
  <si>
    <t>begroting 2022</t>
  </si>
  <si>
    <t>Prognose 2021</t>
  </si>
  <si>
    <t>begroting 2021</t>
  </si>
  <si>
    <t>werkelijk 2020</t>
  </si>
  <si>
    <t>werkelijk 2019</t>
  </si>
  <si>
    <t>KNDB MEERJAREN BEGROTING</t>
  </si>
  <si>
    <t>werkelijk 2021</t>
  </si>
  <si>
    <t>Welp</t>
  </si>
  <si>
    <t>Jun</t>
  </si>
  <si>
    <t>Asp</t>
  </si>
  <si>
    <t>Pup</t>
  </si>
  <si>
    <t>Sen</t>
  </si>
  <si>
    <t>Contributie</t>
  </si>
  <si>
    <t>BTW</t>
  </si>
  <si>
    <t>ex</t>
  </si>
  <si>
    <t>NC</t>
  </si>
  <si>
    <t>Teams</t>
  </si>
  <si>
    <t>Tarief</t>
  </si>
  <si>
    <t>Klasse</t>
  </si>
  <si>
    <t>Ereklasse</t>
  </si>
  <si>
    <t>Hoofdklasse</t>
  </si>
  <si>
    <t>Eerste Klasse</t>
  </si>
  <si>
    <t>Tweede klasse</t>
  </si>
  <si>
    <t>Balans</t>
  </si>
  <si>
    <t>00011 - automatisering</t>
  </si>
  <si>
    <t>00200 - financiering DamZ!</t>
  </si>
  <si>
    <t>00400 - Eigen vermogen</t>
  </si>
  <si>
    <t>00401 - Resultaat boekjaar</t>
  </si>
  <si>
    <t>06000 - Voorziening transitievergoeding</t>
  </si>
  <si>
    <t>06020 - Dammen en Internet</t>
  </si>
  <si>
    <t>06500 - Promotiefonds</t>
  </si>
  <si>
    <t>06710 - Fonds Talentontwikkeling/MT-programma</t>
  </si>
  <si>
    <t>06800 - WK Match 2021/2022</t>
  </si>
  <si>
    <t>06900 - Fonds Dam-app</t>
  </si>
  <si>
    <t>11000 - Rabo</t>
  </si>
  <si>
    <t>11001 - Rabo</t>
  </si>
  <si>
    <t>11002 - ING</t>
  </si>
  <si>
    <t>11003 - ING</t>
  </si>
  <si>
    <t>13000 - Debiteuren</t>
  </si>
  <si>
    <t>13010 - Voorziening debiteuren</t>
  </si>
  <si>
    <t>14000 - Crediteuren</t>
  </si>
  <si>
    <t>15001 - Te betalen vakatiegeld</t>
  </si>
  <si>
    <t>15010 - Te betalen loonheffing</t>
  </si>
  <si>
    <t>19010 - Vooruitontvangen bedragen</t>
  </si>
  <si>
    <t>19011 - Vooruitontvangen contributie</t>
  </si>
  <si>
    <t>19060 - Nog te betalen bedragen</t>
  </si>
  <si>
    <t>Winst</t>
  </si>
  <si>
    <t>Cumulatief Resultaat</t>
  </si>
  <si>
    <t>Debet</t>
  </si>
  <si>
    <t>Credit</t>
  </si>
  <si>
    <t>06600 - Jeugdfonds</t>
  </si>
  <si>
    <t>Winst &amp; Verlies</t>
  </si>
  <si>
    <t>40000 - Salarissen</t>
  </si>
  <si>
    <t>40001 - Vakantiegeld</t>
  </si>
  <si>
    <t>40002 - Sociale lasten</t>
  </si>
  <si>
    <t>40003 - Bijdrage ziektekostenverzekering</t>
  </si>
  <si>
    <t>40004 - Pensioenpremie</t>
  </si>
  <si>
    <t>40010 - Eindejaarsuitkering</t>
  </si>
  <si>
    <t>40011 - Reiskosten woon-werk</t>
  </si>
  <si>
    <t>40015 - Ziekteverzuimverzekering/WGA enz.</t>
  </si>
  <si>
    <t>40016 - Ontvangen ziekteverzuim</t>
  </si>
  <si>
    <t>40018 - Directievoering Sportcluster</t>
  </si>
  <si>
    <t>40021 - Vergoeding onkosten personeel</t>
  </si>
  <si>
    <t>40030 - Vrije ruimte WKR</t>
  </si>
  <si>
    <t>40040 - Dotatie voorziening transitivergoeding</t>
  </si>
  <si>
    <t>40100 - Huur kantoorruimte</t>
  </si>
  <si>
    <t>40205 - Afschrijving automatisering</t>
  </si>
  <si>
    <t>40207 - Onderhoud automatisering</t>
  </si>
  <si>
    <t>90001 - Bijzondere lasten</t>
  </si>
  <si>
    <t>90000 - Bijzondere baten</t>
  </si>
  <si>
    <t>80201 - Kosten projecten</t>
  </si>
  <si>
    <t>73101 - Opbrengstenopleidingen</t>
  </si>
  <si>
    <t>71305 - Opbrengst WK jeugd</t>
  </si>
  <si>
    <t>71209 - Opbrengst overige intern. Wedstr. Sen.</t>
  </si>
  <si>
    <t>71201 - Opbrengst EK algemeen</t>
  </si>
  <si>
    <t>71203 - Opbrengst WK algemeen</t>
  </si>
  <si>
    <t>71104 - Opbrengst CMT</t>
  </si>
  <si>
    <t>40220 - Kopieerkosten</t>
  </si>
  <si>
    <t>40221 - Kantoorbenodigheden</t>
  </si>
  <si>
    <t>40222 - Kosten Sportcluster</t>
  </si>
  <si>
    <t>40224 - Accountantskosten</t>
  </si>
  <si>
    <t>40225 - Kosten loonadministratie</t>
  </si>
  <si>
    <t>40226 - Juridische- &amp; Advieskosten</t>
  </si>
  <si>
    <t>40227 - Kosten verzekeringen</t>
  </si>
  <si>
    <t>40228 - Bankkosten</t>
  </si>
  <si>
    <t>40229 - Lidmaatschappen/abbonementen</t>
  </si>
  <si>
    <t>40230 - Vakliteratuur/tijdschriften</t>
  </si>
  <si>
    <t>40233 - Betalingsverschillen</t>
  </si>
  <si>
    <t>40235 - Afdracht FMJD</t>
  </si>
  <si>
    <t>40302 - Kosten promotie</t>
  </si>
  <si>
    <t>40304 - Kosten internet</t>
  </si>
  <si>
    <t>40307 - Kosten representatie</t>
  </si>
  <si>
    <t>41000 - Kosten hoofdbestuur</t>
  </si>
  <si>
    <t>41001 - Kosten bondsraad</t>
  </si>
  <si>
    <t>42000 - Kosten commisies</t>
  </si>
  <si>
    <t>50000 - Contributies leden</t>
  </si>
  <si>
    <t>50001 - Contributies Bijzondere bonden</t>
  </si>
  <si>
    <t>50002 - Contributies persoonlijke leden</t>
  </si>
  <si>
    <t>51000 - NOC*NSF 1.1 Algemeen functioneren</t>
  </si>
  <si>
    <t>52000 - Interest</t>
  </si>
  <si>
    <t>59000 - Overige opbrengsten</t>
  </si>
  <si>
    <t>59001 - Protest- en beroepsgelden</t>
  </si>
  <si>
    <t>60101 - Kosten NK algemeen</t>
  </si>
  <si>
    <t>60102 - Kosten NK vrouwen</t>
  </si>
  <si>
    <t>60103 - Kosten NK Junioren</t>
  </si>
  <si>
    <t>60104 - Kosten NK Aspiranten</t>
  </si>
  <si>
    <t>60105 - Kosten NK pupillen</t>
  </si>
  <si>
    <t>60106 - Kosten NK Welpen</t>
  </si>
  <si>
    <t>60109 - Kosten NK Overige</t>
  </si>
  <si>
    <t>60201 - Kosten Nationale competitie</t>
  </si>
  <si>
    <t>60301 - Kosten NK junioren Meisjes</t>
  </si>
  <si>
    <t>60302 - Kosten NK aspiranten meisjes</t>
  </si>
  <si>
    <t>60303 - Kosten NK pupillen meisjes</t>
  </si>
  <si>
    <t>60304 - Kosten NK welpen meisjes</t>
  </si>
  <si>
    <t>60404 - Kosten HF aspiranten</t>
  </si>
  <si>
    <t>60405 - Kosten HF Pupillen</t>
  </si>
  <si>
    <t>60700 - Kosten Drukken Het Damspel</t>
  </si>
  <si>
    <t>60701 - Kosten verzending Het Damspel</t>
  </si>
  <si>
    <t>60702 - Kosten overige Het Damspel</t>
  </si>
  <si>
    <t>61001 - Kosten topsport</t>
  </si>
  <si>
    <t>61101 - Kosten CJT</t>
  </si>
  <si>
    <t>61102 - Kosten CAT</t>
  </si>
  <si>
    <t>61103 - Kosten CPT</t>
  </si>
  <si>
    <t>61104 - Kosten CMT</t>
  </si>
  <si>
    <t>61109 - Kosten ov. Voorber./training jeugd</t>
  </si>
  <si>
    <t>61201 - Kosten EK Algemeen</t>
  </si>
  <si>
    <t>61202 - Kosten EK Vrouwen</t>
  </si>
  <si>
    <t>61203 - Kosten WK Algemeen</t>
  </si>
  <si>
    <t>61209 - Kosten overige int. Wedstr. Sen.</t>
  </si>
  <si>
    <t>61302 - Kosten WK junioren</t>
  </si>
  <si>
    <t>61305 - Kosten WK Jeugd</t>
  </si>
  <si>
    <t>67000 - Kosten opleidingen</t>
  </si>
  <si>
    <t>70005 - Opbrengst subsidie TO/Topsport 3.1a</t>
  </si>
  <si>
    <t>70008 - Opbrengst sponsoring</t>
  </si>
  <si>
    <t>70109 - Opbrengst NK Overig</t>
  </si>
  <si>
    <t>70201 - Opbrengst NC</t>
  </si>
  <si>
    <t>70404 - Opbrengst HF aspiranten</t>
  </si>
  <si>
    <t>70405 - Opbrengst HF Pupillen</t>
  </si>
  <si>
    <t>70710 - Opbrengst KNDB abbonementen</t>
  </si>
  <si>
    <t>71001 - Opbrengst topsport</t>
  </si>
  <si>
    <t>71101 - Opbrengst CJT</t>
  </si>
  <si>
    <t>71102 - Opbrengst CAT</t>
  </si>
  <si>
    <t>71103 - Opbrengst CPT</t>
  </si>
  <si>
    <t>06700 - Fonds ondersteuning vrouwendammen</t>
  </si>
  <si>
    <t>15020 - Te betalen pensioenpremie</t>
  </si>
  <si>
    <t>18500 - Rekening te vorderen BTW</t>
  </si>
  <si>
    <t>18510 - Rekening af te dragen BTW</t>
  </si>
  <si>
    <t>20300 - Kruisposten</t>
  </si>
  <si>
    <t>20998 - Niet toegewezen</t>
  </si>
  <si>
    <t>Vorig jaar Onverwerkt winst/verlies</t>
  </si>
  <si>
    <t>Verlies</t>
  </si>
  <si>
    <t>40017 - Arbodienst</t>
  </si>
  <si>
    <t>40250 - Overige organisatiekosten</t>
  </si>
  <si>
    <t>60107 - Kosten NK sneldammen</t>
  </si>
  <si>
    <t>60202 - Kosten KNDB-beker</t>
  </si>
  <si>
    <t>60401 - Kosten HF algemeen</t>
  </si>
  <si>
    <t>60403 - Kosten HF junioren</t>
  </si>
  <si>
    <t>60604 - Kosten Schooldammen</t>
  </si>
  <si>
    <t>60609 - Kosten overige wedstrijden nationaal</t>
  </si>
  <si>
    <t>61205 - Kosten WK Landen/Olympiade</t>
  </si>
  <si>
    <t>61301 - Kosten EK Jeugd</t>
  </si>
  <si>
    <t>70304 - Opbrengst NK welpen meisjes</t>
  </si>
  <si>
    <t>70401 - Opbrenst HF algemeen</t>
  </si>
  <si>
    <t>70604 - Opbrengst schooldammen</t>
  </si>
  <si>
    <t>70700 - Opbrengst Het Damspel advertenties</t>
  </si>
  <si>
    <t>71301 - Opbrengst EK jeugd</t>
  </si>
  <si>
    <t>76000 - Opbrengst verkopen (Bondswinkel)</t>
  </si>
  <si>
    <t>78000 - Opbrengst NOC*NSF 1.1 Leven lang sporten</t>
  </si>
  <si>
    <t>Inventaris en automatisering</t>
  </si>
  <si>
    <t>Liquide middelen</t>
  </si>
  <si>
    <t>Eigen vermogen (vrij)</t>
  </si>
  <si>
    <t>Voorziening personeel</t>
  </si>
  <si>
    <t>Bestemmingsreserve</t>
  </si>
  <si>
    <t>Bestemmingfonds</t>
  </si>
  <si>
    <t>Schulden en overlopende passiva</t>
  </si>
  <si>
    <t>Vorderingen en overlopende activa</t>
  </si>
  <si>
    <t>Salaris</t>
  </si>
  <si>
    <t>Het Damspel</t>
  </si>
  <si>
    <t>GL</t>
  </si>
  <si>
    <t>Kosten</t>
  </si>
  <si>
    <t>Opbrengsten</t>
  </si>
  <si>
    <t>Rijlabels</t>
  </si>
  <si>
    <t>(leeg)</t>
  </si>
  <si>
    <t>Eindtotaal</t>
  </si>
  <si>
    <t>Som van Kosten</t>
  </si>
  <si>
    <t>Som van Opbrengsten</t>
  </si>
  <si>
    <t xml:space="preserve">    00011</t>
  </si>
  <si>
    <t>Automatisering</t>
  </si>
  <si>
    <t xml:space="preserve">    00200</t>
  </si>
  <si>
    <t>Financiering DamZ!</t>
  </si>
  <si>
    <t xml:space="preserve">    00400</t>
  </si>
  <si>
    <t>Eigen vermogen</t>
  </si>
  <si>
    <t xml:space="preserve">    00401</t>
  </si>
  <si>
    <t>Resultaat boekjaar</t>
  </si>
  <si>
    <t xml:space="preserve">    06000</t>
  </si>
  <si>
    <t>Voorziening transitievergoeding</t>
  </si>
  <si>
    <t xml:space="preserve">    06020</t>
  </si>
  <si>
    <t>Dammen en internet</t>
  </si>
  <si>
    <t xml:space="preserve">    06500</t>
  </si>
  <si>
    <t>Promotiefonds</t>
  </si>
  <si>
    <t xml:space="preserve">    06600</t>
  </si>
  <si>
    <t>Jeugdfonds</t>
  </si>
  <si>
    <t xml:space="preserve">    06700</t>
  </si>
  <si>
    <t>Fonds ondersteuning vrouwendammen</t>
  </si>
  <si>
    <t xml:space="preserve">    06710</t>
  </si>
  <si>
    <t>Fonds talentontwikkeling/MT-programma meisjes</t>
  </si>
  <si>
    <t xml:space="preserve">    06800</t>
  </si>
  <si>
    <t>WK Match 2021/2022</t>
  </si>
  <si>
    <t xml:space="preserve">    06900</t>
  </si>
  <si>
    <t>Fonds Dam-app</t>
  </si>
  <si>
    <t xml:space="preserve">    11000</t>
  </si>
  <si>
    <t>Rabobank 1611.61.588</t>
  </si>
  <si>
    <t xml:space="preserve">    11001</t>
  </si>
  <si>
    <t>Rabobank Bedrijfsspaarrekening 3552.154.132</t>
  </si>
  <si>
    <t xml:space="preserve">    11002</t>
  </si>
  <si>
    <t>ING 140731</t>
  </si>
  <si>
    <t xml:space="preserve">    11003</t>
  </si>
  <si>
    <t>ING zakelijke spaarrekening 140731</t>
  </si>
  <si>
    <t xml:space="preserve">    13000</t>
  </si>
  <si>
    <t>Debiteuren</t>
  </si>
  <si>
    <t xml:space="preserve">    13010</t>
  </si>
  <si>
    <t>Voorziening debiteuren</t>
  </si>
  <si>
    <t xml:space="preserve">    14000</t>
  </si>
  <si>
    <t>Crediteuren</t>
  </si>
  <si>
    <t xml:space="preserve">    15000</t>
  </si>
  <si>
    <t>Te betalen netto salaris</t>
  </si>
  <si>
    <t xml:space="preserve">    15001</t>
  </si>
  <si>
    <t>Te betalen vakantiegeld</t>
  </si>
  <si>
    <t xml:space="preserve">    15010</t>
  </si>
  <si>
    <t>Te betalen loonheffing</t>
  </si>
  <si>
    <t xml:space="preserve">    15020</t>
  </si>
  <si>
    <t>Te betalen pensioenpremie</t>
  </si>
  <si>
    <t xml:space="preserve">    18500</t>
  </si>
  <si>
    <t>Rekening te vorderen BTW</t>
  </si>
  <si>
    <t xml:space="preserve">    18510</t>
  </si>
  <si>
    <t>Rekening af te dragen BTW</t>
  </si>
  <si>
    <t xml:space="preserve">    19010</t>
  </si>
  <si>
    <t>Vooruitontvangen bedragen</t>
  </si>
  <si>
    <t xml:space="preserve">    19011</t>
  </si>
  <si>
    <t>Vooruitontvangen contributie</t>
  </si>
  <si>
    <t xml:space="preserve">    19060</t>
  </si>
  <si>
    <t>Nog te betalen bedragen</t>
  </si>
  <si>
    <t xml:space="preserve">    20300</t>
  </si>
  <si>
    <t>Kruisposten</t>
  </si>
  <si>
    <t xml:space="preserve">    20998</t>
  </si>
  <si>
    <t>Niet toegewezen</t>
  </si>
  <si>
    <t>Omschrijving</t>
  </si>
  <si>
    <t>Vorig jaar Onverwerkt Winst/verlies</t>
  </si>
  <si>
    <t>Vakantiegeld</t>
  </si>
  <si>
    <t>Sociale lasten</t>
  </si>
  <si>
    <t>Pensioenpremie</t>
  </si>
  <si>
    <t>Eindejaarsuitkering</t>
  </si>
  <si>
    <t>Reiskosten woon-werk</t>
  </si>
  <si>
    <t>Ziekteverzuimverzekering/WGA enz.</t>
  </si>
  <si>
    <t>Arbodienst</t>
  </si>
  <si>
    <t>Directievoering sportcluster</t>
  </si>
  <si>
    <t>Vergoeding onkosten personeel</t>
  </si>
  <si>
    <t>Vrije ruimte WKR</t>
  </si>
  <si>
    <t>Huur kantoorruimte</t>
  </si>
  <si>
    <t>Onderhoud automatisering</t>
  </si>
  <si>
    <t>Accountantskosten</t>
  </si>
  <si>
    <t>Kosten loonadministratie</t>
  </si>
  <si>
    <t>Juridische- &amp; Advieskosten</t>
  </si>
  <si>
    <t>Kosten verzekeringen</t>
  </si>
  <si>
    <t>Bankkosten</t>
  </si>
  <si>
    <t>Lidmaatschappen/abonnementen</t>
  </si>
  <si>
    <t>Vakliteratuur/tijdschriften</t>
  </si>
  <si>
    <t>Betalingsverschillen</t>
  </si>
  <si>
    <t>Afdracht FMJD</t>
  </si>
  <si>
    <t>Overige organisatiekosten</t>
  </si>
  <si>
    <t>Kosten promotie</t>
  </si>
  <si>
    <t>Kosten internet</t>
  </si>
  <si>
    <t>Kosten representatie</t>
  </si>
  <si>
    <t>Kosten hoofdbestuur</t>
  </si>
  <si>
    <t>Kosten bondsraad</t>
  </si>
  <si>
    <t>Kosten commissies</t>
  </si>
  <si>
    <t>Contributie persoonlijke leden</t>
  </si>
  <si>
    <t>NOC*NSF 1.1 Algemeen functioneren</t>
  </si>
  <si>
    <t>Intrest</t>
  </si>
  <si>
    <t>Overige opbrengsten</t>
  </si>
  <si>
    <t>Protest- en beroepsgelden</t>
  </si>
  <si>
    <t>Kosten NK vrouwen</t>
  </si>
  <si>
    <t>Kosten NK junioren</t>
  </si>
  <si>
    <t>Kosten NK aspiranten</t>
  </si>
  <si>
    <t>Kosten NK pupillen</t>
  </si>
  <si>
    <t>Kosten NK welpen</t>
  </si>
  <si>
    <t>Kosten NK sneldammen</t>
  </si>
  <si>
    <t>Kosten NK overige</t>
  </si>
  <si>
    <t>Kosten Nationale Competitie</t>
  </si>
  <si>
    <t>Kosten KNDB-beker</t>
  </si>
  <si>
    <t>Kosten NK junioren meisjes</t>
  </si>
  <si>
    <t>Kosten NK aspiranten meisjes</t>
  </si>
  <si>
    <t>Kosten NK pupillen meisjes</t>
  </si>
  <si>
    <t>Kosten NK welpen meisjes</t>
  </si>
  <si>
    <t>Kosten HF algemeen</t>
  </si>
  <si>
    <t>Kosten HF junioren</t>
  </si>
  <si>
    <t>Kosten HF aspiranten</t>
  </si>
  <si>
    <t>Kosten schooldammen</t>
  </si>
  <si>
    <t>Kosten overige wedstrijden nationaal</t>
  </si>
  <si>
    <t>Kosten drukken Het Damspel</t>
  </si>
  <si>
    <t>Kosten verzending Het Damspel</t>
  </si>
  <si>
    <t>Kosten overige Het Damspel</t>
  </si>
  <si>
    <t>Kosten verenigingsondersteuning</t>
  </si>
  <si>
    <t>Kosten topsport</t>
  </si>
  <si>
    <t>Kosten CJT</t>
  </si>
  <si>
    <t>Kosten CAT</t>
  </si>
  <si>
    <t>Kosten CPT</t>
  </si>
  <si>
    <t>Kosten CMT</t>
  </si>
  <si>
    <t>Kosten EK algemeen</t>
  </si>
  <si>
    <t>Kosten EK vrouwen</t>
  </si>
  <si>
    <t>Kosten WK algemeen</t>
  </si>
  <si>
    <t>Kosten WK landen/Olympiade</t>
  </si>
  <si>
    <t>Kosten EK jeugd</t>
  </si>
  <si>
    <t>Kosten WK jeugd</t>
  </si>
  <si>
    <t>Kosten inkopen (bondswinkel)</t>
  </si>
  <si>
    <t>Kosten opleidingen</t>
  </si>
  <si>
    <t>Opbrengst subsidie VWS</t>
  </si>
  <si>
    <t>Opbrengst subsidie TO/Topsport 3.1a</t>
  </si>
  <si>
    <t>Opbrengst Nationale Competitie</t>
  </si>
  <si>
    <t>Opbrengst NK welpen meisjes</t>
  </si>
  <si>
    <t>Opbrengst HF algemeen</t>
  </si>
  <si>
    <t>Opbrengst schooldammen</t>
  </si>
  <si>
    <t>Opbrengst Het Damspel advertenties</t>
  </si>
  <si>
    <t>Opbrengst topsport</t>
  </si>
  <si>
    <t>Opbrengst CJT</t>
  </si>
  <si>
    <t>Opbrengst CAT</t>
  </si>
  <si>
    <t>Opbrengst CPT</t>
  </si>
  <si>
    <t>Opbrengst CMT</t>
  </si>
  <si>
    <t>Opbrengst EK algemeen</t>
  </si>
  <si>
    <t>Opbrengst overige intern. wedstr. sen.</t>
  </si>
  <si>
    <t>Opbrengst EK jeugd</t>
  </si>
  <si>
    <t>Opbrengst verkopen (bondswinkel)</t>
  </si>
  <si>
    <t>Kosten projecten</t>
  </si>
  <si>
    <t>W&amp;V</t>
  </si>
  <si>
    <t>Saldo</t>
  </si>
  <si>
    <t>Ontvangen ziekteverzuim</t>
  </si>
  <si>
    <t>Dotatie Voorziening transitievergoeding</t>
  </si>
  <si>
    <t>Afschrijving automatisering</t>
  </si>
  <si>
    <t>Kopieerkosten</t>
  </si>
  <si>
    <t>Kantoorbenodigdheden</t>
  </si>
  <si>
    <t>Kosten Sportcluster</t>
  </si>
  <si>
    <t>Contributie bijzondere bonden</t>
  </si>
  <si>
    <t>Kosten NK algemeen</t>
  </si>
  <si>
    <t>Kosten HF pupillen</t>
  </si>
  <si>
    <t>Kosten ov. voorber./training jeugd</t>
  </si>
  <si>
    <t>Kosten overige intern. wedstr. sen.</t>
  </si>
  <si>
    <t>Kosten WK junioren</t>
  </si>
  <si>
    <t>Opbrengst sponsoring</t>
  </si>
  <si>
    <t>Opbrengst NK overige</t>
  </si>
  <si>
    <t>Opbrengst HF aspiranten</t>
  </si>
  <si>
    <t>Opbrengst HF pupillen</t>
  </si>
  <si>
    <t>Opbrengst KNDB-abonnementen</t>
  </si>
  <si>
    <t>Opbrengst WK algemeen</t>
  </si>
  <si>
    <t>Opbrengst WK jeugd</t>
  </si>
  <si>
    <t>Opbrengst opleidingen</t>
  </si>
  <si>
    <t>Bijzondere baten</t>
  </si>
  <si>
    <t>Bijzondere lasten</t>
  </si>
  <si>
    <t>Ledenaantallen (KNDB.nl)</t>
  </si>
  <si>
    <t>Actuals</t>
  </si>
  <si>
    <t>Prognose</t>
  </si>
  <si>
    <t>Categorie</t>
  </si>
  <si>
    <t>TeamNL sponsoring</t>
  </si>
  <si>
    <t>Opleidingskosten personeel</t>
  </si>
  <si>
    <t>Bijdrage ziektekostenverzekering</t>
  </si>
  <si>
    <t>Ingehuurd personeel</t>
  </si>
  <si>
    <t>Kosten NK clubteams jeugd</t>
  </si>
  <si>
    <t>Kosten WK vrouwen</t>
  </si>
  <si>
    <t>Opbrengst porto bondswinkel</t>
  </si>
  <si>
    <t>Opbrengst subsidie talentcoach</t>
  </si>
  <si>
    <t>Werkelijk 2022</t>
  </si>
  <si>
    <t>Diversiteit</t>
  </si>
  <si>
    <t>MJP (buiten normale begroting)</t>
  </si>
  <si>
    <t>Oprichting jeugdverenigingen</t>
  </si>
  <si>
    <t>Realiseren schoolcompetities (Jeugdcommissie)</t>
  </si>
  <si>
    <t>Organisatieontwikkeling (OLA &amp; Streaming)</t>
  </si>
  <si>
    <t>Opzet landelijke jeugdcups (van 2022 naar 2023) (Jeugdcommissie)</t>
  </si>
  <si>
    <t>Promotiemateriaal</t>
  </si>
  <si>
    <t>Totaal MJP</t>
  </si>
  <si>
    <t>Inflatie CAO</t>
  </si>
  <si>
    <t>NK ABC</t>
  </si>
  <si>
    <t>Den Hommel</t>
  </si>
  <si>
    <t>Bekercompetitie</t>
  </si>
  <si>
    <t>Versterken Sportbonden</t>
  </si>
  <si>
    <t>Versterken sportbonden</t>
  </si>
  <si>
    <t>NK algemeen</t>
  </si>
  <si>
    <t>NK vrouwen</t>
  </si>
  <si>
    <t>NK sneldammen</t>
  </si>
  <si>
    <t>NK rapid</t>
  </si>
  <si>
    <t>NK Veteranen</t>
  </si>
  <si>
    <t>Euro</t>
  </si>
  <si>
    <t>Veenendaal</t>
  </si>
  <si>
    <t>Leden</t>
  </si>
  <si>
    <t>Totaal</t>
  </si>
  <si>
    <t>Inclusief OLA</t>
  </si>
  <si>
    <t>Opleidingen</t>
  </si>
  <si>
    <t xml:space="preserve">KSS opleidingsmodule, arbitersopleidingen </t>
  </si>
  <si>
    <t>Inclusief vergadering FMJD/EDC, Reiskosten organisatiepool</t>
  </si>
  <si>
    <t>Fitter Brein, Jeugdleidercongres, opleidingsmateriaal KSS gekeurd</t>
  </si>
  <si>
    <t>Kosten Talentontwikkeling</t>
  </si>
  <si>
    <t>Pers</t>
  </si>
  <si>
    <t>Opbrengsten KNDB 2023</t>
  </si>
  <si>
    <t>Opbrengsten KNDB 2024</t>
  </si>
  <si>
    <t>Prognose 2024</t>
  </si>
  <si>
    <t>begroting 2025</t>
  </si>
  <si>
    <t>WINST- EN VERLIESREKENING</t>
  </si>
  <si>
    <t>Niet gekoppeld</t>
  </si>
  <si>
    <t>15047 - Ingehouden AP/WAO-premie</t>
  </si>
  <si>
    <t>40012 - Opleidingskosten personeel</t>
  </si>
  <si>
    <t>40019 - Ingehuurd personeel</t>
  </si>
  <si>
    <t>40202 - Onderhoud inventaris</t>
  </si>
  <si>
    <t>40221 - Kantoorbenodigdheden</t>
  </si>
  <si>
    <t>40229 - Lidmaatschappen/abonnementen</t>
  </si>
  <si>
    <t>40234 - Dubieuze debiteuren</t>
  </si>
  <si>
    <t>40305 - Kosten drukwerk</t>
  </si>
  <si>
    <t>42000 - Kosten commissies</t>
  </si>
  <si>
    <t>50000 - Contributie leden</t>
  </si>
  <si>
    <t>50002 - Contributie persoonlijke leden</t>
  </si>
  <si>
    <t>51001 - NOC*NSF subsidies</t>
  </si>
  <si>
    <t>51002 - Diverse verleende subsidies</t>
  </si>
  <si>
    <t>52000 - Intrest</t>
  </si>
  <si>
    <t>60103 - Kosten NK junioren</t>
  </si>
  <si>
    <t>60104 - Kosten NK aspiranten</t>
  </si>
  <si>
    <t>60106 - Kosten NK welpen</t>
  </si>
  <si>
    <t>60109 - Kosten NK overige</t>
  </si>
  <si>
    <t>60201 - Kosten Nationale Competitie</t>
  </si>
  <si>
    <t>60301 - Kosten NK junioren meisjes</t>
  </si>
  <si>
    <t>60405 - Kosten HF pupillen</t>
  </si>
  <si>
    <t>60602 - Kosten NK sneldammen jeugdteams</t>
  </si>
  <si>
    <t>60604 - Kosten schooldammen</t>
  </si>
  <si>
    <t>60700 - Kosten drukken Het Damspel</t>
  </si>
  <si>
    <t>60900 - Kosten databases</t>
  </si>
  <si>
    <t>61109 - Kosten ov. voorber./training jeugd</t>
  </si>
  <si>
    <t>61201 - Kosten EK algemeen</t>
  </si>
  <si>
    <t>61202 - Kosten EK vrouwen</t>
  </si>
  <si>
    <t>61203 - Kosten WK algemeen</t>
  </si>
  <si>
    <t>61204 - Kosten WK vrouwen</t>
  </si>
  <si>
    <t>61205 - Kosten WK landen/Olympiade</t>
  </si>
  <si>
    <t>61301 - Kosten EK jeugd</t>
  </si>
  <si>
    <t>61305 - Kosten WK jeugd</t>
  </si>
  <si>
    <t>61401 - Kosten Talentontwikkeling</t>
  </si>
  <si>
    <t>66000 - Kosten inkopen (bondswinkel)</t>
  </si>
  <si>
    <t>70001 - Opbrengst subsidie talentcoach</t>
  </si>
  <si>
    <t>70101 - Opbrengst NK algemeen</t>
  </si>
  <si>
    <t>70104 - Opbrengst NK aspiranten</t>
  </si>
  <si>
    <t>70106 - Opbrengst NK welpen</t>
  </si>
  <si>
    <t>70107 - Opbrengst NK sneldammen</t>
  </si>
  <si>
    <t>70201 - Opbrengst Nationale Competitie</t>
  </si>
  <si>
    <t>70303 - Opbrengst NK pupillen meisjes</t>
  </si>
  <si>
    <t>70401 - Opbrengst HF algemeen</t>
  </si>
  <si>
    <t>70603 - Opbrengst Nationale Jeugddamdag</t>
  </si>
  <si>
    <t>70701 - Opbrengst Het Damspel overige opbrengsten</t>
  </si>
  <si>
    <t>71209 - Opbrengst overige intern. wedstr. sen.</t>
  </si>
  <si>
    <t>76000 - Opbrengst verkopen (bondswinkel)</t>
  </si>
  <si>
    <t>76001 - Opbrengst porto bondswinkel</t>
  </si>
  <si>
    <t>78000 - Opbrengst NOC*NSF 1.1 Leven Lang Sporten</t>
  </si>
  <si>
    <t>78090 - Opbrengst NOC*NSF overig</t>
  </si>
  <si>
    <t>80301 - Kosten dammen en internet</t>
  </si>
  <si>
    <t>90002 - Baten voorgaand boekjaar</t>
  </si>
  <si>
    <t>Totaal: Niet gekoppeld</t>
  </si>
  <si>
    <t>Resultaat</t>
  </si>
  <si>
    <t>Totaal: WINST- EN VERLIESREKENING</t>
  </si>
  <si>
    <t>2024 totaal</t>
  </si>
  <si>
    <t>2023 totaal</t>
  </si>
  <si>
    <t>2024 Eindsaldo (Debet)</t>
  </si>
  <si>
    <t>2024 Eindsaldo (Credit)</t>
  </si>
  <si>
    <t>2023 Eindsaldo (Debet)</t>
  </si>
  <si>
    <t>2023 Eindsaldo (Credit)</t>
  </si>
  <si>
    <t>Som van 2024 totaal</t>
  </si>
  <si>
    <t>Som van 2023 totaal</t>
  </si>
  <si>
    <t>begroting 2026</t>
  </si>
  <si>
    <t>begroting 2027</t>
  </si>
  <si>
    <t>begroting 2028</t>
  </si>
  <si>
    <t>Opbrengsten KNDB 2025</t>
  </si>
  <si>
    <t>Opbrengsten KNDB 2026</t>
  </si>
  <si>
    <t>Opbrengsten KNDB 2027</t>
  </si>
  <si>
    <t>Opbrengsten KNDB 2028</t>
  </si>
  <si>
    <t>Correctie op ereleden en eerstejaars jeugdleden benodigd, daarom als uitgangspunt welpen niet meetellen</t>
  </si>
  <si>
    <t>Inclusief bijdrage topsport voor 14 spelers.</t>
  </si>
  <si>
    <t>Sponsoring</t>
  </si>
  <si>
    <t>Advertenties of digitale abbo?!</t>
  </si>
  <si>
    <t>Opgenomen in Open topsportprogramma</t>
  </si>
  <si>
    <t>Play offs NC</t>
  </si>
  <si>
    <t>Vanaf 2026 inclusief sponsoring playoffs ereklasse NC?!</t>
  </si>
</sst>
</file>

<file path=xl/styles.xml><?xml version="1.0" encoding="utf-8"?>
<styleSheet xmlns="http://schemas.openxmlformats.org/spreadsheetml/2006/main">
  <numFmts count="9">
    <numFmt numFmtId="6" formatCode="&quot;€&quot;\ #,##0;[Red]&quot;€&quot;\ \-#,##0"/>
    <numFmt numFmtId="43" formatCode="_ * #,##0.00_ ;_ * \-#,##0.00_ ;_ * &quot;-&quot;??_ ;_ @_ "/>
    <numFmt numFmtId="164" formatCode="dd/mm/yy;@"/>
    <numFmt numFmtId="165" formatCode="_(* #,##0.00_);_(* \(#,##0.00\);_(* &quot;-&quot;??_);_(@_)"/>
    <numFmt numFmtId="166" formatCode="_ * #,##0_ ;_ * \-#,##0_ ;_ * &quot;-&quot;??_ ;_ @_ "/>
    <numFmt numFmtId="167" formatCode="#,##0;\-#,##0;&quot; &quot;"/>
    <numFmt numFmtId="168" formatCode="#,##0;\-#,##0;0"/>
    <numFmt numFmtId="169" formatCode="_(* #,##0_);_(* \(#,##0\);_(* &quot;-&quot;??_);_(@_)"/>
    <numFmt numFmtId="170" formatCode="_ &quot;€&quot;\ * #,##0_ ;_ &quot;€&quot;\ * \-#,##0_ ;_ &quot;€&quot;\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139">
    <xf numFmtId="0" fontId="0" fillId="0" borderId="0" xfId="0"/>
    <xf numFmtId="0" fontId="0" fillId="0" borderId="0" xfId="0" applyAlignment="1">
      <alignment horizontal="left"/>
    </xf>
    <xf numFmtId="164" fontId="3" fillId="0" borderId="0" xfId="0" applyNumberFormat="1" applyFont="1"/>
    <xf numFmtId="0" fontId="0" fillId="0" borderId="0" xfId="0" quotePrefix="1"/>
    <xf numFmtId="0" fontId="2" fillId="0" borderId="0" xfId="0" applyFont="1"/>
    <xf numFmtId="166" fontId="0" fillId="0" borderId="0" xfId="1" applyNumberFormat="1" applyFont="1"/>
    <xf numFmtId="166" fontId="0" fillId="0" borderId="0" xfId="1" applyNumberFormat="1" applyFont="1" applyBorder="1"/>
    <xf numFmtId="166" fontId="0" fillId="0" borderId="1" xfId="1" applyNumberFormat="1" applyFont="1" applyBorder="1"/>
    <xf numFmtId="166" fontId="2" fillId="2" borderId="2" xfId="1" applyNumberFormat="1" applyFont="1" applyFill="1" applyBorder="1"/>
    <xf numFmtId="166" fontId="2" fillId="2" borderId="0" xfId="1" applyNumberFormat="1" applyFont="1" applyFill="1"/>
    <xf numFmtId="166" fontId="2" fillId="2" borderId="3" xfId="1" applyNumberFormat="1" applyFont="1" applyFill="1" applyBorder="1"/>
    <xf numFmtId="166" fontId="2" fillId="0" borderId="3" xfId="1" applyNumberFormat="1" applyFont="1" applyBorder="1"/>
    <xf numFmtId="166" fontId="2" fillId="0" borderId="0" xfId="1" applyNumberFormat="1" applyFont="1"/>
    <xf numFmtId="166" fontId="0" fillId="2" borderId="0" xfId="1" applyNumberFormat="1" applyFont="1" applyFill="1" applyBorder="1"/>
    <xf numFmtId="166" fontId="0" fillId="2" borderId="4" xfId="1" applyNumberFormat="1" applyFont="1" applyFill="1" applyBorder="1"/>
    <xf numFmtId="166" fontId="0" fillId="0" borderId="4" xfId="1" applyNumberFormat="1" applyFont="1" applyBorder="1"/>
    <xf numFmtId="166" fontId="2" fillId="2" borderId="5" xfId="1" applyNumberFormat="1" applyFont="1" applyFill="1" applyBorder="1"/>
    <xf numFmtId="166" fontId="2" fillId="2" borderId="6" xfId="1" applyNumberFormat="1" applyFont="1" applyFill="1" applyBorder="1"/>
    <xf numFmtId="166" fontId="2" fillId="0" borderId="5" xfId="1" applyNumberFormat="1" applyFont="1" applyBorder="1"/>
    <xf numFmtId="166" fontId="2" fillId="0" borderId="6" xfId="1" applyNumberFormat="1" applyFont="1" applyBorder="1"/>
    <xf numFmtId="166" fontId="0" fillId="0" borderId="5" xfId="1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horizontal="left"/>
    </xf>
    <xf numFmtId="166" fontId="2" fillId="2" borderId="0" xfId="1" applyNumberFormat="1" applyFont="1" applyFill="1" applyBorder="1"/>
    <xf numFmtId="166" fontId="2" fillId="2" borderId="4" xfId="1" applyNumberFormat="1" applyFont="1" applyFill="1" applyBorder="1"/>
    <xf numFmtId="166" fontId="2" fillId="0" borderId="0" xfId="1" applyNumberFormat="1" applyFont="1" applyBorder="1"/>
    <xf numFmtId="166" fontId="2" fillId="0" borderId="4" xfId="1" applyNumberFormat="1" applyFont="1" applyBorder="1"/>
    <xf numFmtId="0" fontId="2" fillId="0" borderId="0" xfId="0" applyFont="1" applyAlignment="1">
      <alignment horizontal="left"/>
    </xf>
    <xf numFmtId="0" fontId="0" fillId="2" borderId="0" xfId="0" applyFill="1"/>
    <xf numFmtId="166" fontId="0" fillId="2" borderId="0" xfId="1" applyNumberFormat="1" applyFont="1" applyFill="1" applyBorder="1" applyAlignment="1">
      <alignment horizontal="right"/>
    </xf>
    <xf numFmtId="166" fontId="0" fillId="2" borderId="4" xfId="1" applyNumberFormat="1" applyFont="1" applyFill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4" xfId="1" applyNumberFormat="1" applyFont="1" applyBorder="1" applyAlignment="1">
      <alignment horizontal="right"/>
    </xf>
    <xf numFmtId="166" fontId="2" fillId="2" borderId="5" xfId="1" applyNumberFormat="1" applyFont="1" applyFill="1" applyBorder="1" applyAlignment="1">
      <alignment horizontal="right"/>
    </xf>
    <xf numFmtId="166" fontId="2" fillId="2" borderId="6" xfId="1" applyNumberFormat="1" applyFont="1" applyFill="1" applyBorder="1" applyAlignment="1">
      <alignment horizontal="right"/>
    </xf>
    <xf numFmtId="166" fontId="2" fillId="0" borderId="5" xfId="1" applyNumberFormat="1" applyFont="1" applyBorder="1" applyAlignment="1">
      <alignment horizontal="right"/>
    </xf>
    <xf numFmtId="166" fontId="2" fillId="0" borderId="6" xfId="1" applyNumberFormat="1" applyFont="1" applyBorder="1" applyAlignment="1">
      <alignment horizontal="right"/>
    </xf>
    <xf numFmtId="9" fontId="0" fillId="0" borderId="0" xfId="2" applyFont="1"/>
    <xf numFmtId="166" fontId="0" fillId="0" borderId="0" xfId="2" applyNumberFormat="1" applyFont="1"/>
    <xf numFmtId="166" fontId="0" fillId="0" borderId="0" xfId="0" applyNumberFormat="1"/>
    <xf numFmtId="14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14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left"/>
    </xf>
    <xf numFmtId="0" fontId="4" fillId="0" borderId="0" xfId="0" applyFont="1"/>
    <xf numFmtId="14" fontId="0" fillId="0" borderId="0" xfId="0" applyNumberFormat="1"/>
    <xf numFmtId="165" fontId="0" fillId="0" borderId="0" xfId="1" applyFont="1"/>
    <xf numFmtId="165" fontId="0" fillId="0" borderId="0" xfId="0" applyNumberFormat="1"/>
    <xf numFmtId="43" fontId="0" fillId="0" borderId="0" xfId="0" applyNumberFormat="1"/>
    <xf numFmtId="165" fontId="0" fillId="3" borderId="0" xfId="1" applyFont="1" applyFill="1"/>
    <xf numFmtId="0" fontId="0" fillId="3" borderId="0" xfId="0" applyFill="1"/>
    <xf numFmtId="0" fontId="0" fillId="0" borderId="0" xfId="0" pivotButton="1"/>
    <xf numFmtId="166" fontId="0" fillId="0" borderId="4" xfId="1" applyNumberFormat="1" applyFont="1" applyFill="1" applyBorder="1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166" fontId="0" fillId="0" borderId="4" xfId="1" applyNumberFormat="1" applyFont="1" applyFill="1" applyBorder="1"/>
    <xf numFmtId="166" fontId="0" fillId="0" borderId="0" xfId="1" applyNumberFormat="1" applyFont="1" applyFill="1" applyBorder="1"/>
    <xf numFmtId="167" fontId="5" fillId="0" borderId="0" xfId="0" applyNumberFormat="1" applyFont="1"/>
    <xf numFmtId="0" fontId="5" fillId="0" borderId="0" xfId="0" applyFont="1"/>
    <xf numFmtId="168" fontId="6" fillId="0" borderId="0" xfId="0" applyNumberFormat="1" applyFont="1"/>
    <xf numFmtId="0" fontId="6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5" fillId="0" borderId="1" xfId="0" applyFont="1" applyBorder="1"/>
    <xf numFmtId="169" fontId="0" fillId="0" borderId="15" xfId="1" applyNumberFormat="1" applyFont="1" applyBorder="1"/>
    <xf numFmtId="169" fontId="0" fillId="0" borderId="16" xfId="1" applyNumberFormat="1" applyFont="1" applyBorder="1"/>
    <xf numFmtId="165" fontId="0" fillId="0" borderId="17" xfId="1" applyFont="1" applyBorder="1"/>
    <xf numFmtId="0" fontId="5" fillId="0" borderId="0" xfId="0" quotePrefix="1" applyFont="1" applyAlignment="1">
      <alignment horizontal="right"/>
    </xf>
    <xf numFmtId="0" fontId="5" fillId="0" borderId="0" xfId="0" quotePrefix="1" applyFont="1"/>
    <xf numFmtId="0" fontId="2" fillId="4" borderId="4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2" fillId="4" borderId="8" xfId="0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166" fontId="0" fillId="4" borderId="4" xfId="1" applyNumberFormat="1" applyFont="1" applyFill="1" applyBorder="1" applyAlignment="1">
      <alignment horizontal="right"/>
    </xf>
    <xf numFmtId="166" fontId="0" fillId="4" borderId="0" xfId="1" applyNumberFormat="1" applyFont="1" applyFill="1" applyBorder="1" applyAlignment="1">
      <alignment horizontal="right"/>
    </xf>
    <xf numFmtId="166" fontId="2" fillId="4" borderId="6" xfId="1" applyNumberFormat="1" applyFont="1" applyFill="1" applyBorder="1" applyAlignment="1">
      <alignment horizontal="right"/>
    </xf>
    <xf numFmtId="166" fontId="2" fillId="4" borderId="5" xfId="1" applyNumberFormat="1" applyFont="1" applyFill="1" applyBorder="1" applyAlignment="1">
      <alignment horizontal="right"/>
    </xf>
    <xf numFmtId="166" fontId="0" fillId="4" borderId="4" xfId="1" applyNumberFormat="1" applyFont="1" applyFill="1" applyBorder="1"/>
    <xf numFmtId="166" fontId="0" fillId="4" borderId="0" xfId="1" applyNumberFormat="1" applyFont="1" applyFill="1" applyBorder="1"/>
    <xf numFmtId="0" fontId="0" fillId="4" borderId="0" xfId="0" applyFill="1"/>
    <xf numFmtId="166" fontId="2" fillId="4" borderId="6" xfId="1" applyNumberFormat="1" applyFont="1" applyFill="1" applyBorder="1"/>
    <xf numFmtId="166" fontId="2" fillId="4" borderId="5" xfId="1" applyNumberFormat="1" applyFont="1" applyFill="1" applyBorder="1"/>
    <xf numFmtId="166" fontId="2" fillId="4" borderId="4" xfId="1" applyNumberFormat="1" applyFont="1" applyFill="1" applyBorder="1"/>
    <xf numFmtId="166" fontId="2" fillId="4" borderId="0" xfId="1" applyNumberFormat="1" applyFont="1" applyFill="1" applyBorder="1"/>
    <xf numFmtId="166" fontId="2" fillId="4" borderId="0" xfId="1" applyNumberFormat="1" applyFont="1" applyFill="1"/>
    <xf numFmtId="166" fontId="2" fillId="4" borderId="3" xfId="1" applyNumberFormat="1" applyFont="1" applyFill="1" applyBorder="1"/>
    <xf numFmtId="170" fontId="0" fillId="0" borderId="0" xfId="0" applyNumberFormat="1"/>
    <xf numFmtId="0" fontId="0" fillId="0" borderId="0" xfId="0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0" xfId="0" quotePrefix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8" fontId="6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vertical="center"/>
    </xf>
    <xf numFmtId="166" fontId="0" fillId="2" borderId="0" xfId="3" applyNumberFormat="1" applyFont="1" applyFill="1" applyBorder="1" applyAlignment="1">
      <alignment horizontal="right"/>
    </xf>
    <xf numFmtId="166" fontId="0" fillId="2" borderId="4" xfId="3" applyNumberFormat="1" applyFont="1" applyFill="1" applyBorder="1"/>
    <xf numFmtId="9" fontId="0" fillId="0" borderId="0" xfId="0" applyNumberFormat="1"/>
    <xf numFmtId="166" fontId="2" fillId="2" borderId="3" xfId="3" applyNumberFormat="1" applyFont="1" applyFill="1" applyBorder="1"/>
    <xf numFmtId="6" fontId="0" fillId="0" borderId="0" xfId="0" applyNumberFormat="1"/>
    <xf numFmtId="166" fontId="0" fillId="4" borderId="14" xfId="1" applyNumberFormat="1" applyFont="1" applyFill="1" applyBorder="1" applyAlignment="1">
      <alignment horizontal="right"/>
    </xf>
    <xf numFmtId="166" fontId="0" fillId="4" borderId="1" xfId="1" applyNumberFormat="1" applyFont="1" applyFill="1" applyBorder="1" applyAlignment="1">
      <alignment horizontal="right"/>
    </xf>
    <xf numFmtId="166" fontId="2" fillId="4" borderId="18" xfId="1" applyNumberFormat="1" applyFont="1" applyFill="1" applyBorder="1" applyAlignment="1">
      <alignment horizontal="right"/>
    </xf>
    <xf numFmtId="166" fontId="0" fillId="4" borderId="1" xfId="1" applyNumberFormat="1" applyFont="1" applyFill="1" applyBorder="1"/>
    <xf numFmtId="0" fontId="0" fillId="4" borderId="1" xfId="0" applyFill="1" applyBorder="1"/>
    <xf numFmtId="166" fontId="0" fillId="4" borderId="19" xfId="1" applyNumberFormat="1" applyFont="1" applyFill="1" applyBorder="1"/>
    <xf numFmtId="4" fontId="7" fillId="0" borderId="0" xfId="4" applyNumberFormat="1" applyAlignment="1">
      <alignment horizontal="right" vertical="center"/>
    </xf>
    <xf numFmtId="0" fontId="8" fillId="0" borderId="0" xfId="0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8" fillId="0" borderId="0" xfId="0" applyFont="1" applyAlignment="1">
      <alignment horizontal="left" vertical="center"/>
    </xf>
    <xf numFmtId="166" fontId="0" fillId="2" borderId="14" xfId="1" applyNumberFormat="1" applyFont="1" applyFill="1" applyBorder="1" applyAlignment="1">
      <alignment horizontal="right"/>
    </xf>
    <xf numFmtId="166" fontId="0" fillId="2" borderId="1" xfId="3" applyNumberFormat="1" applyFont="1" applyFill="1" applyBorder="1" applyAlignment="1">
      <alignment horizontal="right"/>
    </xf>
    <xf numFmtId="166" fontId="2" fillId="2" borderId="18" xfId="1" applyNumberFormat="1" applyFont="1" applyFill="1" applyBorder="1" applyAlignment="1">
      <alignment horizontal="right"/>
    </xf>
    <xf numFmtId="166" fontId="2" fillId="2" borderId="18" xfId="1" applyNumberFormat="1" applyFont="1" applyFill="1" applyBorder="1"/>
    <xf numFmtId="166" fontId="2" fillId="2" borderId="1" xfId="1" applyNumberFormat="1" applyFont="1" applyFill="1" applyBorder="1"/>
    <xf numFmtId="166" fontId="0" fillId="2" borderId="1" xfId="1" applyNumberFormat="1" applyFont="1" applyFill="1" applyBorder="1"/>
    <xf numFmtId="166" fontId="0" fillId="3" borderId="0" xfId="3" applyNumberFormat="1" applyFont="1" applyFill="1" applyBorder="1" applyAlignment="1">
      <alignment horizontal="right"/>
    </xf>
    <xf numFmtId="166" fontId="0" fillId="3" borderId="1" xfId="3" applyNumberFormat="1" applyFont="1" applyFill="1" applyBorder="1" applyAlignment="1">
      <alignment horizontal="right"/>
    </xf>
    <xf numFmtId="166" fontId="2" fillId="2" borderId="10" xfId="1" applyNumberFormat="1" applyFont="1" applyFill="1" applyBorder="1" applyAlignment="1">
      <alignment horizontal="center"/>
    </xf>
    <xf numFmtId="166" fontId="2" fillId="2" borderId="9" xfId="1" applyNumberFormat="1" applyFont="1" applyFill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166" fontId="2" fillId="0" borderId="9" xfId="1" applyNumberFormat="1" applyFont="1" applyBorder="1" applyAlignment="1">
      <alignment horizontal="center"/>
    </xf>
    <xf numFmtId="166" fontId="2" fillId="4" borderId="10" xfId="1" applyNumberFormat="1" applyFont="1" applyFill="1" applyBorder="1" applyAlignment="1">
      <alignment horizontal="center"/>
    </xf>
    <xf numFmtId="166" fontId="2" fillId="4" borderId="9" xfId="1" applyNumberFormat="1" applyFont="1" applyFill="1" applyBorder="1" applyAlignment="1">
      <alignment horizontal="center"/>
    </xf>
  </cellXfs>
  <cellStyles count="5">
    <cellStyle name="Komma" xfId="1" builtinId="3"/>
    <cellStyle name="Komma 2" xfId="3"/>
    <cellStyle name="Procent" xfId="2" builtinId="5"/>
    <cellStyle name="Standaard" xfId="0" builtinId="0"/>
    <cellStyle name="Standaard 2" xfId="4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6">
          <cell r="A16">
            <v>15047</v>
          </cell>
          <cell r="B16" t="str">
            <v>15047 - Ingehouden AP/WAO-premie</v>
          </cell>
          <cell r="C16">
            <v>-35</v>
          </cell>
        </row>
        <row r="17">
          <cell r="A17">
            <v>40000</v>
          </cell>
          <cell r="B17" t="str">
            <v>40000 - Salarissen</v>
          </cell>
          <cell r="C17">
            <v>90650.27</v>
          </cell>
        </row>
        <row r="18">
          <cell r="A18">
            <v>40001</v>
          </cell>
          <cell r="B18" t="str">
            <v>40001 - Vakantiegeld</v>
          </cell>
          <cell r="C18">
            <v>6226.62</v>
          </cell>
        </row>
        <row r="19">
          <cell r="A19">
            <v>40002</v>
          </cell>
          <cell r="B19" t="str">
            <v>40002 - Sociale lasten</v>
          </cell>
          <cell r="C19">
            <v>6532.7</v>
          </cell>
        </row>
        <row r="20">
          <cell r="A20">
            <v>40004</v>
          </cell>
          <cell r="B20" t="str">
            <v>40004 - Pensioenpremie</v>
          </cell>
          <cell r="C20">
            <v>2555.13</v>
          </cell>
        </row>
        <row r="21">
          <cell r="A21">
            <v>40010</v>
          </cell>
          <cell r="B21" t="str">
            <v>40010 - Eindejaarsuitkering</v>
          </cell>
          <cell r="C21">
            <v>3411.51</v>
          </cell>
        </row>
        <row r="22">
          <cell r="A22">
            <v>40011</v>
          </cell>
          <cell r="B22" t="str">
            <v>40011 - Reiskosten woon-werk</v>
          </cell>
          <cell r="C22">
            <v>4735.7700000000004</v>
          </cell>
        </row>
        <row r="23">
          <cell r="A23">
            <v>40012</v>
          </cell>
          <cell r="B23" t="str">
            <v>40012 - Opleidingskosten personeel</v>
          </cell>
          <cell r="C23">
            <v>450.49</v>
          </cell>
        </row>
        <row r="24">
          <cell r="A24">
            <v>40015</v>
          </cell>
          <cell r="B24" t="str">
            <v>40015 - Ziekteverzuimverzekering/WGA enz.</v>
          </cell>
          <cell r="C24">
            <v>1478.66</v>
          </cell>
        </row>
        <row r="25">
          <cell r="A25">
            <v>40030</v>
          </cell>
          <cell r="B25" t="str">
            <v>40030 - Vrije ruimte WKR</v>
          </cell>
          <cell r="C25">
            <v>1806.82</v>
          </cell>
        </row>
        <row r="26">
          <cell r="A26">
            <v>40221</v>
          </cell>
          <cell r="B26" t="str">
            <v>40221 - Kantoorbenodigdheden</v>
          </cell>
          <cell r="C26">
            <v>440</v>
          </cell>
        </row>
        <row r="27">
          <cell r="A27">
            <v>40222</v>
          </cell>
          <cell r="B27" t="str">
            <v>40222 - Kosten Sportcluster</v>
          </cell>
          <cell r="C27">
            <v>9104.82</v>
          </cell>
        </row>
        <row r="28">
          <cell r="A28">
            <v>40224</v>
          </cell>
          <cell r="B28" t="str">
            <v>40224 - Accountantskosten</v>
          </cell>
          <cell r="C28">
            <v>8100</v>
          </cell>
        </row>
        <row r="29">
          <cell r="A29">
            <v>40225</v>
          </cell>
          <cell r="B29" t="str">
            <v>40225 - Kosten loonadministratie</v>
          </cell>
          <cell r="C29">
            <v>981.24</v>
          </cell>
        </row>
        <row r="30">
          <cell r="A30">
            <v>40226</v>
          </cell>
          <cell r="B30" t="str">
            <v>40226 - Juridische- &amp; Advieskosten</v>
          </cell>
          <cell r="C30">
            <v>963.39</v>
          </cell>
        </row>
        <row r="31">
          <cell r="A31">
            <v>40227</v>
          </cell>
          <cell r="B31" t="str">
            <v>40227 - Kosten verzekeringen</v>
          </cell>
          <cell r="C31">
            <v>1545.26</v>
          </cell>
        </row>
        <row r="32">
          <cell r="A32">
            <v>40228</v>
          </cell>
          <cell r="B32" t="str">
            <v>40228 - Bankkosten</v>
          </cell>
          <cell r="C32">
            <v>710.86</v>
          </cell>
        </row>
        <row r="33">
          <cell r="A33">
            <v>40229</v>
          </cell>
          <cell r="B33" t="str">
            <v>40229 - Lidmaatschappen/abonnementen</v>
          </cell>
          <cell r="C33">
            <v>920.45</v>
          </cell>
        </row>
        <row r="34">
          <cell r="A34">
            <v>40233</v>
          </cell>
          <cell r="B34" t="str">
            <v>40233 - Betalingsverschillen</v>
          </cell>
          <cell r="C34">
            <v>0.03</v>
          </cell>
        </row>
        <row r="35">
          <cell r="A35">
            <v>40250</v>
          </cell>
          <cell r="B35" t="str">
            <v>40250 - Overige organisatiekosten</v>
          </cell>
          <cell r="C35">
            <v>1203.2</v>
          </cell>
        </row>
        <row r="36">
          <cell r="A36">
            <v>40304</v>
          </cell>
          <cell r="B36" t="str">
            <v>40304 - Kosten internet</v>
          </cell>
          <cell r="C36">
            <v>2197.88</v>
          </cell>
        </row>
        <row r="37">
          <cell r="A37">
            <v>40305</v>
          </cell>
          <cell r="B37" t="str">
            <v>40305 - Kosten drukwerk</v>
          </cell>
          <cell r="C37">
            <v>206.75</v>
          </cell>
        </row>
        <row r="38">
          <cell r="A38">
            <v>40307</v>
          </cell>
          <cell r="B38" t="str">
            <v>40307 - Kosten representatie</v>
          </cell>
          <cell r="C38">
            <v>450</v>
          </cell>
        </row>
        <row r="39">
          <cell r="A39">
            <v>41000</v>
          </cell>
          <cell r="B39" t="str">
            <v>41000 - Kosten hoofdbestuur</v>
          </cell>
          <cell r="C39">
            <v>2253.36</v>
          </cell>
        </row>
        <row r="40">
          <cell r="A40">
            <v>41001</v>
          </cell>
          <cell r="B40" t="str">
            <v>41001 - Kosten bondsraad</v>
          </cell>
          <cell r="C40">
            <v>420.95</v>
          </cell>
        </row>
        <row r="41">
          <cell r="A41">
            <v>42000</v>
          </cell>
          <cell r="B41" t="str">
            <v>42000 - Kosten commissies</v>
          </cell>
          <cell r="C41">
            <v>327.74</v>
          </cell>
        </row>
        <row r="42">
          <cell r="A42">
            <v>50000</v>
          </cell>
          <cell r="B42" t="str">
            <v>50000 - Contributie leden</v>
          </cell>
          <cell r="C42">
            <v>-50760.12</v>
          </cell>
        </row>
        <row r="43">
          <cell r="A43">
            <v>50002</v>
          </cell>
          <cell r="B43" t="str">
            <v>50002 - Contributie persoonlijke leden</v>
          </cell>
          <cell r="C43">
            <v>-2181.52</v>
          </cell>
        </row>
        <row r="44">
          <cell r="A44">
            <v>51001</v>
          </cell>
          <cell r="B44" t="str">
            <v>51001 - NOC*NSF subsidies</v>
          </cell>
          <cell r="C44">
            <v>-11966.94</v>
          </cell>
        </row>
        <row r="45">
          <cell r="A45">
            <v>51002</v>
          </cell>
          <cell r="B45" t="str">
            <v>51002 - Diverse verleende subsidies</v>
          </cell>
          <cell r="C45">
            <v>946.91</v>
          </cell>
        </row>
        <row r="46">
          <cell r="A46">
            <v>52000</v>
          </cell>
          <cell r="B46" t="str">
            <v>52000 - Intrest</v>
          </cell>
          <cell r="C46">
            <v>-1001.87</v>
          </cell>
        </row>
        <row r="47">
          <cell r="A47">
            <v>60101</v>
          </cell>
          <cell r="B47" t="str">
            <v>60101 - Kosten NK algemeen</v>
          </cell>
          <cell r="C47">
            <v>817.61</v>
          </cell>
        </row>
        <row r="48">
          <cell r="A48">
            <v>60102</v>
          </cell>
          <cell r="B48" t="str">
            <v>60102 - Kosten NK vrouwen</v>
          </cell>
          <cell r="C48">
            <v>4132.2299999999996</v>
          </cell>
        </row>
        <row r="49">
          <cell r="A49">
            <v>60103</v>
          </cell>
          <cell r="B49" t="str">
            <v>60103 - Kosten NK junioren</v>
          </cell>
          <cell r="C49">
            <v>1453.51</v>
          </cell>
        </row>
        <row r="50">
          <cell r="A50">
            <v>60104</v>
          </cell>
          <cell r="B50" t="str">
            <v>60104 - Kosten NK aspiranten</v>
          </cell>
          <cell r="C50">
            <v>1427.45</v>
          </cell>
        </row>
        <row r="51">
          <cell r="A51">
            <v>60105</v>
          </cell>
          <cell r="B51" t="str">
            <v>60105 - Kosten NK pupillen</v>
          </cell>
          <cell r="C51">
            <v>768.78</v>
          </cell>
        </row>
        <row r="52">
          <cell r="A52">
            <v>60106</v>
          </cell>
          <cell r="B52" t="str">
            <v>60106 - Kosten NK welpen</v>
          </cell>
          <cell r="C52">
            <v>363.09</v>
          </cell>
        </row>
        <row r="53">
          <cell r="A53">
            <v>60107</v>
          </cell>
          <cell r="B53" t="str">
            <v>60107 - Kosten NK sneldammen</v>
          </cell>
          <cell r="C53">
            <v>1492.97</v>
          </cell>
        </row>
        <row r="54">
          <cell r="A54">
            <v>60201</v>
          </cell>
          <cell r="B54" t="str">
            <v>60201 - Kosten Nationale Competitie</v>
          </cell>
          <cell r="C54">
            <v>-661.22</v>
          </cell>
        </row>
        <row r="55">
          <cell r="A55">
            <v>60202</v>
          </cell>
          <cell r="B55" t="str">
            <v>60202 - Kosten KNDB-beker</v>
          </cell>
          <cell r="C55">
            <v>806.36</v>
          </cell>
        </row>
        <row r="56">
          <cell r="A56">
            <v>60301</v>
          </cell>
          <cell r="B56" t="str">
            <v>60301 - Kosten NK junioren meisjes</v>
          </cell>
          <cell r="C56">
            <v>47.52</v>
          </cell>
        </row>
        <row r="57">
          <cell r="A57">
            <v>60302</v>
          </cell>
          <cell r="B57" t="str">
            <v>60302 - Kosten NK aspiranten meisjes</v>
          </cell>
          <cell r="C57">
            <v>521.74</v>
          </cell>
        </row>
        <row r="58">
          <cell r="A58">
            <v>60303</v>
          </cell>
          <cell r="B58" t="str">
            <v>60303 - Kosten NK pupillen meisjes</v>
          </cell>
          <cell r="C58">
            <v>612.99</v>
          </cell>
        </row>
        <row r="59">
          <cell r="A59">
            <v>60304</v>
          </cell>
          <cell r="B59" t="str">
            <v>60304 - Kosten NK welpen meisjes</v>
          </cell>
          <cell r="C59">
            <v>37.19</v>
          </cell>
        </row>
        <row r="60">
          <cell r="A60">
            <v>60401</v>
          </cell>
          <cell r="B60" t="str">
            <v>60401 - Kosten HF algemeen</v>
          </cell>
          <cell r="C60">
            <v>537.5</v>
          </cell>
        </row>
        <row r="61">
          <cell r="A61">
            <v>60404</v>
          </cell>
          <cell r="B61" t="str">
            <v>60404 - Kosten HF aspiranten</v>
          </cell>
          <cell r="C61">
            <v>246.72</v>
          </cell>
        </row>
        <row r="62">
          <cell r="A62">
            <v>60604</v>
          </cell>
          <cell r="B62" t="str">
            <v>60604 - Kosten schooldammen</v>
          </cell>
          <cell r="C62">
            <v>2425.91</v>
          </cell>
        </row>
        <row r="63">
          <cell r="A63">
            <v>60700</v>
          </cell>
          <cell r="B63" t="str">
            <v>60700 - Kosten drukken Het Damspel</v>
          </cell>
          <cell r="C63">
            <v>2959.7</v>
          </cell>
        </row>
        <row r="64">
          <cell r="A64">
            <v>60701</v>
          </cell>
          <cell r="B64" t="str">
            <v>60701 - Kosten verzending Het Damspel</v>
          </cell>
          <cell r="C64">
            <v>6643.19</v>
          </cell>
        </row>
        <row r="65">
          <cell r="A65">
            <v>60702</v>
          </cell>
          <cell r="B65" t="str">
            <v>60702 - Kosten overige Het Damspel</v>
          </cell>
          <cell r="C65">
            <v>1723.67</v>
          </cell>
        </row>
        <row r="66">
          <cell r="A66">
            <v>60900</v>
          </cell>
          <cell r="B66" t="str">
            <v>60900 - Kosten databases</v>
          </cell>
          <cell r="C66">
            <v>4176.8999999999996</v>
          </cell>
        </row>
        <row r="67">
          <cell r="A67">
            <v>61001</v>
          </cell>
          <cell r="B67" t="str">
            <v>61001 - Kosten topsport</v>
          </cell>
          <cell r="C67">
            <v>12031.81</v>
          </cell>
        </row>
        <row r="68">
          <cell r="A68">
            <v>61101</v>
          </cell>
          <cell r="B68" t="str">
            <v>61101 - Kosten CJT</v>
          </cell>
          <cell r="C68">
            <v>120</v>
          </cell>
        </row>
        <row r="69">
          <cell r="A69">
            <v>61102</v>
          </cell>
          <cell r="B69" t="str">
            <v>61102 - Kosten CAT</v>
          </cell>
          <cell r="C69">
            <v>1140.75</v>
          </cell>
        </row>
        <row r="70">
          <cell r="A70">
            <v>61103</v>
          </cell>
          <cell r="B70" t="str">
            <v>61103 - Kosten CPT</v>
          </cell>
          <cell r="C70">
            <v>4048.02</v>
          </cell>
        </row>
        <row r="71">
          <cell r="A71">
            <v>61104</v>
          </cell>
          <cell r="B71" t="str">
            <v>61104 - Kosten CMT</v>
          </cell>
          <cell r="C71">
            <v>780</v>
          </cell>
        </row>
        <row r="72">
          <cell r="A72">
            <v>61109</v>
          </cell>
          <cell r="B72" t="str">
            <v>61109 - Kosten ov. voorber./training jeugd</v>
          </cell>
          <cell r="C72">
            <v>2000</v>
          </cell>
        </row>
        <row r="73">
          <cell r="A73">
            <v>61201</v>
          </cell>
          <cell r="B73" t="str">
            <v>61201 - Kosten EK algemeen</v>
          </cell>
          <cell r="C73">
            <v>14841</v>
          </cell>
        </row>
        <row r="74">
          <cell r="A74">
            <v>61202</v>
          </cell>
          <cell r="B74" t="str">
            <v>61202 - Kosten EK vrouwen</v>
          </cell>
          <cell r="C74">
            <v>2000.48</v>
          </cell>
        </row>
        <row r="75">
          <cell r="A75">
            <v>61203</v>
          </cell>
          <cell r="B75" t="str">
            <v>61203 - Kosten WK algemeen</v>
          </cell>
          <cell r="C75">
            <v>15196.2</v>
          </cell>
        </row>
        <row r="76">
          <cell r="A76">
            <v>61204</v>
          </cell>
          <cell r="B76" t="str">
            <v>61204 - Kosten WK vrouwen</v>
          </cell>
          <cell r="C76">
            <v>1485</v>
          </cell>
        </row>
        <row r="77">
          <cell r="A77">
            <v>61205</v>
          </cell>
          <cell r="B77" t="str">
            <v>61205 - Kosten WK landen/Olympiade</v>
          </cell>
          <cell r="C77">
            <v>1838.47</v>
          </cell>
        </row>
        <row r="78">
          <cell r="A78">
            <v>61301</v>
          </cell>
          <cell r="B78" t="str">
            <v>61301 - Kosten EK jeugd</v>
          </cell>
          <cell r="C78">
            <v>38569.86</v>
          </cell>
        </row>
        <row r="79">
          <cell r="A79">
            <v>61305</v>
          </cell>
          <cell r="B79" t="str">
            <v>61305 - Kosten WK jeugd</v>
          </cell>
          <cell r="C79">
            <v>12297</v>
          </cell>
        </row>
        <row r="80">
          <cell r="A80">
            <v>66000</v>
          </cell>
          <cell r="B80" t="str">
            <v>66000 - Kosten inkopen (bondswinkel)</v>
          </cell>
          <cell r="C80">
            <v>4522.1000000000004</v>
          </cell>
        </row>
        <row r="81">
          <cell r="A81">
            <v>70005</v>
          </cell>
          <cell r="B81" t="str">
            <v>70005 - Opbrengst subsidie TO/Topsport 3.1a</v>
          </cell>
          <cell r="C81">
            <v>-47128.25</v>
          </cell>
        </row>
        <row r="82">
          <cell r="A82">
            <v>70101</v>
          </cell>
          <cell r="B82" t="str">
            <v>70101 - Opbrengst NK algemeen</v>
          </cell>
          <cell r="C82">
            <v>-1800</v>
          </cell>
        </row>
        <row r="83">
          <cell r="A83">
            <v>70104</v>
          </cell>
          <cell r="B83" t="str">
            <v>70104 - Opbrengst NK aspiranten</v>
          </cell>
          <cell r="C83">
            <v>-250</v>
          </cell>
        </row>
        <row r="84">
          <cell r="A84">
            <v>70106</v>
          </cell>
          <cell r="B84" t="str">
            <v>70106 - Opbrengst NK welpen</v>
          </cell>
          <cell r="C84">
            <v>-380</v>
          </cell>
        </row>
        <row r="85">
          <cell r="A85">
            <v>70107</v>
          </cell>
          <cell r="B85" t="str">
            <v>70107 - Opbrengst NK sneldammen</v>
          </cell>
          <cell r="C85">
            <v>-997</v>
          </cell>
        </row>
        <row r="86">
          <cell r="A86">
            <v>70303</v>
          </cell>
          <cell r="B86" t="str">
            <v>70303 - Opbrengst NK pupillen meisjes</v>
          </cell>
          <cell r="C86">
            <v>-200</v>
          </cell>
        </row>
        <row r="87">
          <cell r="A87">
            <v>70401</v>
          </cell>
          <cell r="B87" t="str">
            <v>70401 - Opbrengst HF algemeen</v>
          </cell>
          <cell r="C87">
            <v>-1388.52</v>
          </cell>
        </row>
        <row r="88">
          <cell r="A88">
            <v>70603</v>
          </cell>
          <cell r="B88" t="str">
            <v>70603 - Opbrengst Nationale Jeugddamdag</v>
          </cell>
          <cell r="C88">
            <v>262.06</v>
          </cell>
        </row>
        <row r="89">
          <cell r="A89">
            <v>71101</v>
          </cell>
          <cell r="B89" t="str">
            <v>71101 - Opbrengst CJT</v>
          </cell>
          <cell r="C89">
            <v>-1586.76</v>
          </cell>
        </row>
        <row r="90">
          <cell r="A90">
            <v>71102</v>
          </cell>
          <cell r="B90" t="str">
            <v>71102 - Opbrengst CAT</v>
          </cell>
          <cell r="C90">
            <v>-870.3</v>
          </cell>
        </row>
        <row r="91">
          <cell r="A91">
            <v>71103</v>
          </cell>
          <cell r="B91" t="str">
            <v>71103 - Opbrengst CPT</v>
          </cell>
          <cell r="C91">
            <v>-1214.92</v>
          </cell>
        </row>
        <row r="92">
          <cell r="A92">
            <v>71104</v>
          </cell>
          <cell r="B92" t="str">
            <v>71104 - Opbrengst CMT</v>
          </cell>
          <cell r="C92">
            <v>-954.6</v>
          </cell>
        </row>
        <row r="93">
          <cell r="A93">
            <v>71203</v>
          </cell>
          <cell r="B93" t="str">
            <v>71203 - Opbrengst WK algemeen</v>
          </cell>
          <cell r="C93">
            <v>-11648.16</v>
          </cell>
        </row>
        <row r="94">
          <cell r="A94">
            <v>71209</v>
          </cell>
          <cell r="B94" t="str">
            <v>71209 - Opbrengst overige intern. wedstr. sen.</v>
          </cell>
          <cell r="C94">
            <v>-3461.6</v>
          </cell>
        </row>
        <row r="95">
          <cell r="A95">
            <v>71301</v>
          </cell>
          <cell r="B95" t="str">
            <v>71301 - Opbrengst EK jeugd</v>
          </cell>
          <cell r="C95">
            <v>-33097.58</v>
          </cell>
        </row>
        <row r="96">
          <cell r="A96">
            <v>76000</v>
          </cell>
          <cell r="B96" t="str">
            <v>76000 - Opbrengst verkopen (bondswinkel)</v>
          </cell>
          <cell r="C96">
            <v>-41.32</v>
          </cell>
        </row>
        <row r="97">
          <cell r="A97">
            <v>76001</v>
          </cell>
          <cell r="B97" t="str">
            <v>76001 - Opbrengst porto bondswinkel</v>
          </cell>
          <cell r="C97">
            <v>-3394.03</v>
          </cell>
        </row>
        <row r="98">
          <cell r="A98">
            <v>78000</v>
          </cell>
          <cell r="B98" t="str">
            <v>78000 - Opbrengst NOC*NSF 1.1 Leven Lang Sporten</v>
          </cell>
          <cell r="C98">
            <v>-140290.25</v>
          </cell>
        </row>
        <row r="99">
          <cell r="A99">
            <v>78090</v>
          </cell>
          <cell r="B99" t="str">
            <v>78090 - Opbrengst NOC*NSF overig</v>
          </cell>
          <cell r="C99">
            <v>-2450</v>
          </cell>
        </row>
        <row r="100">
          <cell r="A100">
            <v>80301</v>
          </cell>
          <cell r="B100" t="str">
            <v>80301 - Kosten dammen en internet</v>
          </cell>
          <cell r="C100">
            <v>137</v>
          </cell>
        </row>
        <row r="101">
          <cell r="A101">
            <v>90002</v>
          </cell>
          <cell r="B101" t="str">
            <v>90002 - Baten voorgaand boekjaar</v>
          </cell>
          <cell r="C101">
            <v>-72.66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 van Dijk" refreshedDate="44858.959739351849" createdVersion="8" refreshedVersion="8" minRefreshableVersion="3" recordCount="110">
  <cacheSource type="worksheet">
    <worksheetSource ref="A38:D148" sheet="2021"/>
  </cacheSource>
  <cacheFields count="4">
    <cacheField name="Winst &amp; Verlies" numFmtId="0">
      <sharedItems containsBlank="1" count="23">
        <s v="Salaris"/>
        <s v="Huur bondsbureau"/>
        <s v="afschrijvingen"/>
        <s v="Kantoorkosten (algemeen)"/>
        <s v="Kantoorkosten (topsport)"/>
        <s v="Promotie"/>
        <s v="Internet"/>
        <s v="Bestuur/BR/commissies"/>
        <s v="Contributie leden"/>
        <s v="Subsidies NOC/NSF"/>
        <s v="Nationale wedst. Senioren"/>
        <s v="Nationale Jeugdwedstrijden"/>
        <s v="Opbrengsten NC"/>
        <s v="Schooldammen"/>
        <s v="Het Damspel"/>
        <s v="Topsport"/>
        <s v="Training CJT,CAT,CPT en CMT"/>
        <s v="Internationale Jeugdwedst"/>
        <s v="Internationale wedst Senioren"/>
        <s v="Projecten en VO"/>
        <m/>
        <s v="Bijzondere baten en lasten"/>
        <s v="Winst"/>
      </sharedItems>
    </cacheField>
    <cacheField name="GL" numFmtId="0">
      <sharedItems containsBlank="1"/>
    </cacheField>
    <cacheField name="Kosten" numFmtId="165">
      <sharedItems containsString="0" containsBlank="1" containsNumber="1" containsInteger="1" minValue="-450" maxValue="363148"/>
    </cacheField>
    <cacheField name="Opbrengsten" numFmtId="165">
      <sharedItems containsString="0" containsBlank="1" containsNumber="1" containsInteger="1" minValue="-6000" maxValue="3842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an van Dijk" refreshedDate="45527.430962500002" createdVersion="8" refreshedVersion="8" minRefreshableVersion="3" recordCount="114">
  <cacheSource type="worksheet">
    <worksheetSource ref="A1:I1048576" sheet="W&amp;V 23-24"/>
  </cacheSource>
  <cacheFields count="9">
    <cacheField name="Categorie" numFmtId="0">
      <sharedItems containsBlank="1" count="23">
        <m/>
        <s v="Salaris"/>
        <s v="Huur bondsbureau"/>
        <s v="Kantoorkosten (algemeen)"/>
        <s v="afschrijvingen"/>
        <s v="Kantoorkosten (topsport)"/>
        <s v="Promotie"/>
        <s v="Internet"/>
        <s v="Bestuur/BR/commissies"/>
        <s v="Contributie leden"/>
        <s v="Subsidies NOC/NSF"/>
        <s v="Versterken sportbonden"/>
        <s v="Nationale wedst. Senioren"/>
        <s v="Nationale Jeugdwedstrijden"/>
        <s v="Opbrengsten NC"/>
        <s v="Schooldammen"/>
        <s v="Het Damspel"/>
        <s v="Topsport"/>
        <s v="Training CJT,CAT,CPT en CMT"/>
        <s v="Internationale Jeugdwedst"/>
        <s v="Internationale wedst Senioren"/>
        <s v="Projecten en VO"/>
        <s v="Bijzondere baten en lasten"/>
      </sharedItems>
    </cacheField>
    <cacheField name="GL" numFmtId="0">
      <sharedItems containsString="0" containsBlank="1" containsNumber="1" containsInteger="1" minValue="15047" maxValue="90002"/>
    </cacheField>
    <cacheField name="WINST- EN VERLIESREKENING" numFmtId="0">
      <sharedItems containsBlank="1"/>
    </cacheField>
    <cacheField name="2024 totaal" numFmtId="0">
      <sharedItems containsString="0" containsBlank="1" containsNumber="1" minValue="-140290.25" maxValue="90650.27"/>
    </cacheField>
    <cacheField name="2024 Eindsaldo (Debet)" numFmtId="0">
      <sharedItems containsString="0" containsBlank="1" containsNumber="1" minValue="0.03" maxValue="90650.27"/>
    </cacheField>
    <cacheField name="2024 Eindsaldo (Credit)" numFmtId="0">
      <sharedItems containsString="0" containsBlank="1" containsNumber="1" minValue="35" maxValue="140290.25"/>
    </cacheField>
    <cacheField name="2023 totaal" numFmtId="0">
      <sharedItems containsString="0" containsBlank="1" containsNumber="1" minValue="-256213" maxValue="144554.53"/>
    </cacheField>
    <cacheField name="2023 Eindsaldo (Debet)" numFmtId="0">
      <sharedItems containsString="0" containsBlank="1" containsNumber="1" minValue="32.229999999999997" maxValue="144554.53"/>
    </cacheField>
    <cacheField name="2023 Eindsaldo (Credit)" numFmtId="0">
      <sharedItems containsString="0" containsBlank="1" containsNumber="1" minValue="14" maxValue="256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x v="0"/>
    <s v="40000 - Salarissen"/>
    <n v="135917"/>
    <m/>
  </r>
  <r>
    <x v="0"/>
    <s v="40001 - Vakantiegeld"/>
    <n v="10899"/>
    <m/>
  </r>
  <r>
    <x v="0"/>
    <s v="40002 - Sociale lasten"/>
    <n v="26687"/>
    <m/>
  </r>
  <r>
    <x v="0"/>
    <s v="40003 - Bijdrage ziektekostenverzekering"/>
    <n v="1500"/>
    <m/>
  </r>
  <r>
    <x v="0"/>
    <s v="40004 - Pensioenpremie"/>
    <n v="16784"/>
    <m/>
  </r>
  <r>
    <x v="0"/>
    <s v="40010 - Eindejaarsuitkering"/>
    <n v="3485"/>
    <m/>
  </r>
  <r>
    <x v="0"/>
    <s v="40011 - Reiskosten woon-werk"/>
    <n v="9659"/>
    <m/>
  </r>
  <r>
    <x v="0"/>
    <s v="40015 - Ziekteverzuimverzekering/WGA enz."/>
    <n v="4773"/>
    <m/>
  </r>
  <r>
    <x v="0"/>
    <s v="40016 - Ontvangen ziekteverzuim"/>
    <m/>
    <n v="787"/>
  </r>
  <r>
    <x v="0"/>
    <s v="40017 - Arbodienst"/>
    <m/>
    <m/>
  </r>
  <r>
    <x v="0"/>
    <s v="40018 - Directievoering Sportcluster"/>
    <n v="1839"/>
    <m/>
  </r>
  <r>
    <x v="0"/>
    <s v="40021 - Vergoeding onkosten personeel"/>
    <n v="1450"/>
    <m/>
  </r>
  <r>
    <x v="0"/>
    <s v="40030 - Vrije ruimte WKR"/>
    <n v="346"/>
    <m/>
  </r>
  <r>
    <x v="0"/>
    <s v="40040 - Dotatie voorziening transitivergoeding"/>
    <m/>
    <n v="-6000"/>
  </r>
  <r>
    <x v="1"/>
    <s v="40100 - Huur kantoorruimte"/>
    <n v="7309"/>
    <m/>
  </r>
  <r>
    <x v="2"/>
    <s v="40205 - Afschrijving automatisering"/>
    <n v="651"/>
    <m/>
  </r>
  <r>
    <x v="3"/>
    <s v="40207 - Onderhoud automatisering"/>
    <n v="228"/>
    <m/>
  </r>
  <r>
    <x v="3"/>
    <s v="40220 - Kopieerkosten"/>
    <n v="29"/>
    <m/>
  </r>
  <r>
    <x v="3"/>
    <s v="40221 - Kantoorbenodigheden"/>
    <n v="157"/>
    <m/>
  </r>
  <r>
    <x v="3"/>
    <s v="40222 - Kosten Sportcluster"/>
    <n v="10997"/>
    <m/>
  </r>
  <r>
    <x v="4"/>
    <s v="40224 - Accountantskosten"/>
    <n v="6050"/>
    <m/>
  </r>
  <r>
    <x v="3"/>
    <s v="40225 - Kosten loonadministratie"/>
    <n v="885"/>
    <m/>
  </r>
  <r>
    <x v="3"/>
    <s v="40226 - Juridische- &amp; Advieskosten"/>
    <n v="4056"/>
    <m/>
  </r>
  <r>
    <x v="3"/>
    <s v="40227 - Kosten verzekeringen"/>
    <n v="2106"/>
    <m/>
  </r>
  <r>
    <x v="3"/>
    <s v="40228 - Bankkosten"/>
    <n v="600"/>
    <m/>
  </r>
  <r>
    <x v="3"/>
    <s v="40229 - Lidmaatschappen/abbonementen"/>
    <n v="1792"/>
    <m/>
  </r>
  <r>
    <x v="3"/>
    <s v="40230 - Vakliteratuur/tijdschriften"/>
    <n v="40"/>
    <m/>
  </r>
  <r>
    <x v="3"/>
    <s v="40233 - Betalingsverschillen"/>
    <n v="-2"/>
    <m/>
  </r>
  <r>
    <x v="3"/>
    <s v="40235 - Afdracht FMJD"/>
    <n v="120"/>
    <m/>
  </r>
  <r>
    <x v="3"/>
    <s v="40250 - Overige organisatiekosten"/>
    <m/>
    <m/>
  </r>
  <r>
    <x v="5"/>
    <s v="40302 - Kosten promotie"/>
    <n v="4004"/>
    <m/>
  </r>
  <r>
    <x v="6"/>
    <s v="40304 - Kosten internet"/>
    <n v="3341"/>
    <m/>
  </r>
  <r>
    <x v="7"/>
    <s v="40307 - Kosten representatie"/>
    <n v="265"/>
    <m/>
  </r>
  <r>
    <x v="7"/>
    <s v="41000 - Kosten hoofdbestuur"/>
    <n v="2601"/>
    <m/>
  </r>
  <r>
    <x v="7"/>
    <s v="41001 - Kosten bondsraad"/>
    <n v="417"/>
    <m/>
  </r>
  <r>
    <x v="7"/>
    <s v="42000 - Kosten commisies"/>
    <n v="476"/>
    <m/>
  </r>
  <r>
    <x v="8"/>
    <s v="50000 - Contributies leden"/>
    <m/>
    <n v="112646"/>
  </r>
  <r>
    <x v="8"/>
    <s v="50001 - Contributies Bijzondere bonden"/>
    <m/>
    <n v="1923"/>
  </r>
  <r>
    <x v="8"/>
    <s v="50002 - Contributies persoonlijke leden"/>
    <m/>
    <n v="2386"/>
  </r>
  <r>
    <x v="9"/>
    <s v="51000 - NOC*NSF 1.1 Algemeen functioneren"/>
    <m/>
    <n v="39627"/>
  </r>
  <r>
    <x v="3"/>
    <s v="52000 - Interest"/>
    <m/>
    <n v="-24"/>
  </r>
  <r>
    <x v="3"/>
    <s v="59000 - Overige opbrengsten"/>
    <m/>
    <n v="146"/>
  </r>
  <r>
    <x v="7"/>
    <s v="59001 - Protest- en beroepsgelden"/>
    <m/>
    <n v="125"/>
  </r>
  <r>
    <x v="10"/>
    <s v="60101 - Kosten NK algemeen"/>
    <n v="8007"/>
    <m/>
  </r>
  <r>
    <x v="10"/>
    <s v="60102 - Kosten NK vrouwen"/>
    <n v="4497"/>
    <m/>
  </r>
  <r>
    <x v="11"/>
    <s v="60103 - Kosten NK Junioren"/>
    <n v="1027"/>
    <m/>
  </r>
  <r>
    <x v="11"/>
    <s v="60104 - Kosten NK Aspiranten"/>
    <n v="1054"/>
    <m/>
  </r>
  <r>
    <x v="11"/>
    <s v="60105 - Kosten NK pupillen"/>
    <n v="1004"/>
    <m/>
  </r>
  <r>
    <x v="11"/>
    <s v="60106 - Kosten NK Welpen"/>
    <n v="109"/>
    <m/>
  </r>
  <r>
    <x v="10"/>
    <s v="60107 - Kosten NK sneldammen"/>
    <m/>
    <m/>
  </r>
  <r>
    <x v="10"/>
    <s v="60109 - Kosten NK Overige"/>
    <n v="152"/>
    <m/>
  </r>
  <r>
    <x v="12"/>
    <s v="60201 - Kosten Nationale competitie"/>
    <n v="-107"/>
    <m/>
  </r>
  <r>
    <x v="10"/>
    <s v="60202 - Kosten KNDB-beker"/>
    <m/>
    <m/>
  </r>
  <r>
    <x v="11"/>
    <s v="60301 - Kosten NK junioren Meisjes"/>
    <n v="65"/>
    <m/>
  </r>
  <r>
    <x v="11"/>
    <s v="60302 - Kosten NK aspiranten meisjes"/>
    <n v="850"/>
    <m/>
  </r>
  <r>
    <x v="11"/>
    <s v="60303 - Kosten NK pupillen meisjes"/>
    <n v="455"/>
    <m/>
  </r>
  <r>
    <x v="11"/>
    <s v="60304 - Kosten NK welpen meisjes"/>
    <n v="18"/>
    <m/>
  </r>
  <r>
    <x v="10"/>
    <s v="60401 - Kosten HF algemeen"/>
    <m/>
    <m/>
  </r>
  <r>
    <x v="11"/>
    <s v="60403 - Kosten HF junioren"/>
    <m/>
    <m/>
  </r>
  <r>
    <x v="11"/>
    <s v="60404 - Kosten HF aspiranten"/>
    <n v="37"/>
    <m/>
  </r>
  <r>
    <x v="11"/>
    <s v="60405 - Kosten HF Pupillen"/>
    <n v="37"/>
    <m/>
  </r>
  <r>
    <x v="13"/>
    <s v="60604 - Kosten Schooldammen"/>
    <m/>
    <m/>
  </r>
  <r>
    <x v="10"/>
    <s v="60609 - Kosten overige wedstrijden nationaal"/>
    <m/>
    <m/>
  </r>
  <r>
    <x v="14"/>
    <s v="60700 - Kosten Drukken Het Damspel"/>
    <n v="9219"/>
    <m/>
  </r>
  <r>
    <x v="14"/>
    <s v="60701 - Kosten verzending Het Damspel"/>
    <n v="4656"/>
    <m/>
  </r>
  <r>
    <x v="14"/>
    <s v="60702 - Kosten overige Het Damspel"/>
    <n v="2925"/>
    <m/>
  </r>
  <r>
    <x v="15"/>
    <s v="61001 - Kosten topsport"/>
    <n v="8551"/>
    <m/>
  </r>
  <r>
    <x v="16"/>
    <s v="61101 - Kosten CJT"/>
    <n v="120"/>
    <m/>
  </r>
  <r>
    <x v="16"/>
    <s v="61102 - Kosten CAT"/>
    <n v="4675"/>
    <m/>
  </r>
  <r>
    <x v="16"/>
    <s v="61103 - Kosten CPT"/>
    <n v="4675"/>
    <m/>
  </r>
  <r>
    <x v="16"/>
    <s v="61104 - Kosten CMT"/>
    <n v="1500"/>
    <m/>
  </r>
  <r>
    <x v="17"/>
    <s v="61109 - Kosten ov. Voorber./training jeugd"/>
    <n v="700"/>
    <m/>
  </r>
  <r>
    <x v="18"/>
    <s v="61201 - Kosten EK Algemeen"/>
    <n v="4506"/>
    <m/>
  </r>
  <r>
    <x v="18"/>
    <s v="61202 - Kosten EK Vrouwen"/>
    <n v="1993"/>
    <m/>
  </r>
  <r>
    <x v="18"/>
    <s v="61203 - Kosten WK Algemeen"/>
    <n v="5725"/>
    <m/>
  </r>
  <r>
    <x v="18"/>
    <s v="61205 - Kosten WK Landen/Olympiade"/>
    <m/>
    <m/>
  </r>
  <r>
    <x v="18"/>
    <s v="61209 - Kosten overige int. Wedstr. Sen."/>
    <n v="5371"/>
    <m/>
  </r>
  <r>
    <x v="17"/>
    <s v="61301 - Kosten EK Jeugd"/>
    <m/>
    <m/>
  </r>
  <r>
    <x v="17"/>
    <s v="61302 - Kosten WK junioren"/>
    <n v="-320"/>
    <m/>
  </r>
  <r>
    <x v="17"/>
    <s v="61305 - Kosten WK Jeugd"/>
    <n v="20347"/>
    <m/>
  </r>
  <r>
    <x v="19"/>
    <s v="67000 - Kosten opleidingen"/>
    <n v="1586"/>
    <m/>
  </r>
  <r>
    <x v="9"/>
    <s v="70005 - Opbrengst subsidie TO/Topsport 3.1a"/>
    <m/>
    <n v="177072"/>
  </r>
  <r>
    <x v="9"/>
    <s v="70008 - Opbrengst sponsoring"/>
    <m/>
    <n v="7500"/>
  </r>
  <r>
    <x v="10"/>
    <s v="70109 - Opbrengst NK Overig"/>
    <n v="-450"/>
    <m/>
  </r>
  <r>
    <x v="12"/>
    <s v="70201 - Opbrengst NC"/>
    <m/>
    <n v="6018"/>
  </r>
  <r>
    <x v="11"/>
    <s v="70304 - Opbrengst NK welpen meisjes"/>
    <m/>
    <m/>
  </r>
  <r>
    <x v="10"/>
    <s v="70401 - Opbrenst HF algemeen"/>
    <m/>
    <m/>
  </r>
  <r>
    <x v="11"/>
    <s v="70404 - Opbrengst HF aspiranten"/>
    <m/>
    <n v="300"/>
  </r>
  <r>
    <x v="11"/>
    <s v="70405 - Opbrengst HF Pupillen"/>
    <m/>
    <n v="370"/>
  </r>
  <r>
    <x v="13"/>
    <s v="70604 - Opbrengst schooldammen"/>
    <m/>
    <m/>
  </r>
  <r>
    <x v="14"/>
    <s v="70700 - Opbrengst Het Damspel advertenties"/>
    <m/>
    <m/>
  </r>
  <r>
    <x v="3"/>
    <s v="70710 - Opbrengst KNDB abbonementen"/>
    <m/>
    <n v="525"/>
  </r>
  <r>
    <x v="15"/>
    <s v="71001 - Opbrengst topsport"/>
    <m/>
    <n v="10050"/>
  </r>
  <r>
    <x v="16"/>
    <s v="71101 - Opbrengst CJT"/>
    <m/>
    <n v="1671"/>
  </r>
  <r>
    <x v="16"/>
    <s v="71102 - Opbrengst CAT"/>
    <m/>
    <n v="1590"/>
  </r>
  <r>
    <x v="16"/>
    <s v="71103 - Opbrengst CPT"/>
    <m/>
    <n v="1420"/>
  </r>
  <r>
    <x v="16"/>
    <s v="71104 - Opbrengst CMT"/>
    <m/>
    <n v="976"/>
  </r>
  <r>
    <x v="18"/>
    <s v="71201 - Opbrengst EK algemeen"/>
    <m/>
    <n v="2657"/>
  </r>
  <r>
    <x v="18"/>
    <s v="71203 - Opbrengst WK algemeen"/>
    <m/>
    <n v="3310"/>
  </r>
  <r>
    <x v="18"/>
    <s v="71209 - Opbrengst overige intern. Wedstr. Sen."/>
    <m/>
    <n v="1927"/>
  </r>
  <r>
    <x v="17"/>
    <s v="71301 - Opbrengst EK jeugd"/>
    <m/>
    <m/>
  </r>
  <r>
    <x v="17"/>
    <s v="71305 - Opbrengst WK jeugd"/>
    <m/>
    <n v="13951"/>
  </r>
  <r>
    <x v="19"/>
    <s v="73101 - Opbrengstenopleidingen"/>
    <m/>
    <n v="800"/>
  </r>
  <r>
    <x v="3"/>
    <s v="76000 - Opbrengst verkopen (Bondswinkel)"/>
    <m/>
    <m/>
  </r>
  <r>
    <x v="20"/>
    <s v="78000 - Opbrengst NOC*NSF 1.1 Leven lang sporten"/>
    <m/>
    <m/>
  </r>
  <r>
    <x v="19"/>
    <s v="80201 - Kosten projecten"/>
    <n v="4874"/>
    <m/>
  </r>
  <r>
    <x v="21"/>
    <s v="90000 - Bijzondere baten"/>
    <m/>
    <n v="2452"/>
  </r>
  <r>
    <x v="21"/>
    <s v="90001 - Bijzondere lasten"/>
    <n v="5829"/>
    <m/>
  </r>
  <r>
    <x v="20"/>
    <m/>
    <n v="363148"/>
    <n v="384205"/>
  </r>
  <r>
    <x v="22"/>
    <m/>
    <n v="2105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x v="0"/>
    <m/>
    <s v="Niet gekoppeld"/>
    <m/>
    <m/>
    <m/>
    <m/>
    <m/>
    <m/>
  </r>
  <r>
    <x v="1"/>
    <n v="15047"/>
    <s v="15047 - Ingehouden AP/WAO-premie"/>
    <n v="-35"/>
    <m/>
    <n v="35"/>
    <n v="0"/>
    <m/>
    <m/>
  </r>
  <r>
    <x v="1"/>
    <n v="40000"/>
    <s v="40000 - Salarissen"/>
    <n v="90650.27"/>
    <n v="90650.27"/>
    <m/>
    <n v="144554.53"/>
    <n v="144554.53"/>
    <m/>
  </r>
  <r>
    <x v="1"/>
    <n v="40001"/>
    <s v="40001 - Vakantiegeld"/>
    <n v="6226.62"/>
    <n v="6226.62"/>
    <m/>
    <n v="11592.64"/>
    <n v="11592.64"/>
    <m/>
  </r>
  <r>
    <x v="1"/>
    <n v="40002"/>
    <s v="40002 - Sociale lasten"/>
    <n v="6532.7"/>
    <n v="6532.7"/>
    <m/>
    <n v="28131.17"/>
    <n v="28131.17"/>
    <m/>
  </r>
  <r>
    <x v="1"/>
    <n v="40004"/>
    <s v="40004 - Pensioenpremie"/>
    <n v="2555.13"/>
    <n v="2555.13"/>
    <m/>
    <n v="18025.650000000001"/>
    <n v="18025.650000000001"/>
    <m/>
  </r>
  <r>
    <x v="1"/>
    <n v="40010"/>
    <s v="40010 - Eindejaarsuitkering"/>
    <n v="3411.51"/>
    <n v="3411.51"/>
    <m/>
    <n v="12191.19"/>
    <n v="12191.19"/>
    <m/>
  </r>
  <r>
    <x v="1"/>
    <n v="40011"/>
    <s v="40011 - Reiskosten woon-werk"/>
    <n v="4735.7700000000004"/>
    <n v="4735.7700000000004"/>
    <m/>
    <n v="8529.7099999999991"/>
    <n v="8529.7099999999991"/>
    <m/>
  </r>
  <r>
    <x v="1"/>
    <n v="40012"/>
    <s v="40012 - Opleidingskosten personeel"/>
    <n v="450.49"/>
    <n v="450.49"/>
    <m/>
    <n v="12962.76"/>
    <n v="12962.76"/>
    <m/>
  </r>
  <r>
    <x v="1"/>
    <n v="40015"/>
    <s v="40015 - Ziekteverzuimverzekering/WGA enz."/>
    <n v="1478.66"/>
    <n v="1478.66"/>
    <m/>
    <n v="6070.83"/>
    <n v="6070.83"/>
    <m/>
  </r>
  <r>
    <x v="1"/>
    <n v="40019"/>
    <s v="40019 - Ingehuurd personeel"/>
    <n v="0"/>
    <m/>
    <m/>
    <n v="3000"/>
    <n v="3000"/>
    <m/>
  </r>
  <r>
    <x v="1"/>
    <n v="40030"/>
    <s v="40030 - Vrije ruimte WKR"/>
    <n v="1806.82"/>
    <n v="1806.82"/>
    <m/>
    <n v="0"/>
    <m/>
    <m/>
  </r>
  <r>
    <x v="2"/>
    <n v="40100"/>
    <s v="40100 - Huur kantoorruimte"/>
    <n v="0"/>
    <m/>
    <m/>
    <n v="9250"/>
    <n v="9250"/>
    <m/>
  </r>
  <r>
    <x v="3"/>
    <n v="40202"/>
    <s v="40202 - Onderhoud inventaris"/>
    <n v="0"/>
    <m/>
    <m/>
    <n v="365"/>
    <n v="365"/>
    <m/>
  </r>
  <r>
    <x v="4"/>
    <n v="40205"/>
    <s v="40205 - Afschrijving automatisering"/>
    <n v="0"/>
    <m/>
    <m/>
    <n v="618.35"/>
    <n v="618.35"/>
    <m/>
  </r>
  <r>
    <x v="3"/>
    <n v="40221"/>
    <s v="40221 - Kantoorbenodigdheden"/>
    <n v="440"/>
    <n v="440"/>
    <m/>
    <n v="-256"/>
    <m/>
    <n v="256"/>
  </r>
  <r>
    <x v="3"/>
    <n v="40222"/>
    <s v="40222 - Kosten Sportcluster"/>
    <n v="9104.82"/>
    <n v="9104.82"/>
    <m/>
    <n v="10454.61"/>
    <n v="10454.61"/>
    <m/>
  </r>
  <r>
    <x v="5"/>
    <n v="40224"/>
    <s v="40224 - Accountantskosten"/>
    <n v="8100"/>
    <n v="8100"/>
    <m/>
    <n v="8100"/>
    <n v="8100"/>
    <m/>
  </r>
  <r>
    <x v="3"/>
    <n v="40225"/>
    <s v="40225 - Kosten loonadministratie"/>
    <n v="981.24"/>
    <n v="981.24"/>
    <m/>
    <n v="727.85"/>
    <n v="727.85"/>
    <m/>
  </r>
  <r>
    <x v="3"/>
    <n v="40226"/>
    <s v="40226 - Juridische- &amp; Advieskosten"/>
    <n v="963.39"/>
    <n v="963.39"/>
    <m/>
    <n v="0"/>
    <m/>
    <m/>
  </r>
  <r>
    <x v="3"/>
    <n v="40227"/>
    <s v="40227 - Kosten verzekeringen"/>
    <n v="1545.26"/>
    <n v="1545.26"/>
    <m/>
    <n v="3354.58"/>
    <n v="3354.58"/>
    <m/>
  </r>
  <r>
    <x v="3"/>
    <n v="40228"/>
    <s v="40228 - Bankkosten"/>
    <n v="710.86"/>
    <n v="710.86"/>
    <m/>
    <n v="835.09"/>
    <n v="835.09"/>
    <m/>
  </r>
  <r>
    <x v="3"/>
    <n v="40229"/>
    <s v="40229 - Lidmaatschappen/abonnementen"/>
    <n v="920.45"/>
    <n v="920.45"/>
    <m/>
    <n v="1580.93"/>
    <n v="1580.93"/>
    <m/>
  </r>
  <r>
    <x v="3"/>
    <n v="40233"/>
    <s v="40233 - Betalingsverschillen"/>
    <n v="0.03"/>
    <n v="0.03"/>
    <m/>
    <n v="33.64"/>
    <n v="33.64"/>
    <m/>
  </r>
  <r>
    <x v="3"/>
    <n v="40234"/>
    <s v="40234 - Dubieuze debiteuren"/>
    <n v="0"/>
    <m/>
    <m/>
    <n v="1805.1"/>
    <n v="1805.1"/>
    <m/>
  </r>
  <r>
    <x v="3"/>
    <n v="40235"/>
    <s v="40235 - Afdracht FMJD"/>
    <n v="0"/>
    <m/>
    <m/>
    <n v="170"/>
    <n v="170"/>
    <m/>
  </r>
  <r>
    <x v="3"/>
    <n v="40250"/>
    <s v="40250 - Overige organisatiekosten"/>
    <n v="1203.2"/>
    <n v="1203.2"/>
    <m/>
    <n v="1885.07"/>
    <n v="1885.07"/>
    <m/>
  </r>
  <r>
    <x v="6"/>
    <n v="40302"/>
    <s v="40302 - Kosten promotie"/>
    <n v="0"/>
    <m/>
    <m/>
    <n v="4362.5600000000004"/>
    <n v="4362.5600000000004"/>
    <m/>
  </r>
  <r>
    <x v="7"/>
    <n v="40304"/>
    <s v="40304 - Kosten internet"/>
    <n v="2197.88"/>
    <n v="2197.88"/>
    <m/>
    <n v="4133.8"/>
    <n v="4133.8"/>
    <m/>
  </r>
  <r>
    <x v="6"/>
    <n v="40305"/>
    <s v="40305 - Kosten drukwerk"/>
    <n v="206.75"/>
    <n v="206.75"/>
    <m/>
    <n v="0"/>
    <m/>
    <m/>
  </r>
  <r>
    <x v="8"/>
    <n v="40307"/>
    <s v="40307 - Kosten representatie"/>
    <n v="450"/>
    <n v="450"/>
    <m/>
    <n v="244.62"/>
    <n v="244.62"/>
    <m/>
  </r>
  <r>
    <x v="8"/>
    <n v="41000"/>
    <s v="41000 - Kosten hoofdbestuur"/>
    <n v="2253.36"/>
    <n v="2253.36"/>
    <m/>
    <n v="4319.78"/>
    <n v="4319.78"/>
    <m/>
  </r>
  <r>
    <x v="8"/>
    <n v="41001"/>
    <s v="41001 - Kosten bondsraad"/>
    <n v="420.95"/>
    <n v="420.95"/>
    <m/>
    <n v="682"/>
    <n v="682"/>
    <m/>
  </r>
  <r>
    <x v="8"/>
    <n v="42000"/>
    <s v="42000 - Kosten commissies"/>
    <n v="327.74"/>
    <n v="327.74"/>
    <m/>
    <n v="791.54"/>
    <n v="791.54"/>
    <m/>
  </r>
  <r>
    <x v="9"/>
    <n v="50000"/>
    <s v="50000 - Contributie leden"/>
    <n v="-50760.12"/>
    <m/>
    <n v="50760.12"/>
    <n v="-98797.21"/>
    <m/>
    <n v="98797.21"/>
  </r>
  <r>
    <x v="9"/>
    <n v="50002"/>
    <s v="50002 - Contributie persoonlijke leden"/>
    <n v="-2181.52"/>
    <m/>
    <n v="2181.52"/>
    <n v="-1822.79"/>
    <m/>
    <n v="1822.79"/>
  </r>
  <r>
    <x v="10"/>
    <n v="51001"/>
    <s v="51001 - NOC*NSF subsidies"/>
    <n v="-11966.94"/>
    <m/>
    <n v="11966.94"/>
    <n v="0"/>
    <m/>
    <m/>
  </r>
  <r>
    <x v="11"/>
    <n v="51002"/>
    <s v="51002 - Diverse verleende subsidies"/>
    <n v="946.91"/>
    <n v="946.91"/>
    <m/>
    <n v="6000"/>
    <n v="6000"/>
    <m/>
  </r>
  <r>
    <x v="3"/>
    <n v="52000"/>
    <s v="52000 - Intrest"/>
    <n v="-1001.87"/>
    <m/>
    <n v="1001.87"/>
    <n v="-2156.1999999999998"/>
    <m/>
    <n v="2156.1999999999998"/>
  </r>
  <r>
    <x v="12"/>
    <n v="60101"/>
    <s v="60101 - Kosten NK algemeen"/>
    <n v="817.61"/>
    <n v="817.61"/>
    <m/>
    <n v="35567.519999999997"/>
    <n v="35567.519999999997"/>
    <m/>
  </r>
  <r>
    <x v="12"/>
    <n v="60102"/>
    <s v="60102 - Kosten NK vrouwen"/>
    <n v="4132.2299999999996"/>
    <n v="4132.2299999999996"/>
    <m/>
    <n v="4132.2299999999996"/>
    <n v="4132.2299999999996"/>
    <m/>
  </r>
  <r>
    <x v="13"/>
    <n v="60103"/>
    <s v="60103 - Kosten NK junioren"/>
    <n v="1453.51"/>
    <n v="1453.51"/>
    <m/>
    <n v="1243.18"/>
    <n v="1243.18"/>
    <m/>
  </r>
  <r>
    <x v="13"/>
    <n v="60104"/>
    <s v="60104 - Kosten NK aspiranten"/>
    <n v="1427.45"/>
    <n v="1427.45"/>
    <m/>
    <n v="488.18"/>
    <n v="488.18"/>
    <m/>
  </r>
  <r>
    <x v="13"/>
    <n v="60105"/>
    <s v="60105 - Kosten NK pupillen"/>
    <n v="768.78"/>
    <n v="768.78"/>
    <m/>
    <n v="1123.3900000000001"/>
    <n v="1123.3900000000001"/>
    <m/>
  </r>
  <r>
    <x v="13"/>
    <n v="60106"/>
    <s v="60106 - Kosten NK welpen"/>
    <n v="363.09"/>
    <n v="363.09"/>
    <m/>
    <n v="-73.55"/>
    <m/>
    <n v="73.55"/>
  </r>
  <r>
    <x v="12"/>
    <n v="60107"/>
    <s v="60107 - Kosten NK sneldammen"/>
    <n v="1492.97"/>
    <n v="1492.97"/>
    <m/>
    <n v="387.9"/>
    <n v="387.9"/>
    <m/>
  </r>
  <r>
    <x v="12"/>
    <n v="60109"/>
    <s v="60109 - Kosten NK overige"/>
    <n v="0"/>
    <m/>
    <m/>
    <n v="1135"/>
    <n v="1135"/>
    <m/>
  </r>
  <r>
    <x v="14"/>
    <n v="60201"/>
    <s v="60201 - Kosten Nationale Competitie"/>
    <n v="-661.22"/>
    <m/>
    <n v="661.22"/>
    <n v="6047.58"/>
    <n v="6047.58"/>
    <m/>
  </r>
  <r>
    <x v="12"/>
    <n v="60202"/>
    <s v="60202 - Kosten KNDB-beker"/>
    <n v="806.36"/>
    <n v="806.36"/>
    <m/>
    <n v="348.46"/>
    <n v="348.46"/>
    <m/>
  </r>
  <r>
    <x v="13"/>
    <n v="60301"/>
    <s v="60301 - Kosten NK junioren meisjes"/>
    <n v="47.52"/>
    <n v="47.52"/>
    <m/>
    <n v="921.43"/>
    <n v="921.43"/>
    <m/>
  </r>
  <r>
    <x v="13"/>
    <n v="60302"/>
    <s v="60302 - Kosten NK aspiranten meisjes"/>
    <n v="521.74"/>
    <n v="521.74"/>
    <m/>
    <n v="544.63"/>
    <n v="544.63"/>
    <m/>
  </r>
  <r>
    <x v="13"/>
    <n v="60303"/>
    <s v="60303 - Kosten NK pupillen meisjes"/>
    <n v="612.99"/>
    <n v="612.99"/>
    <m/>
    <n v="57.02"/>
    <n v="57.02"/>
    <m/>
  </r>
  <r>
    <x v="13"/>
    <n v="60304"/>
    <s v="60304 - Kosten NK welpen meisjes"/>
    <n v="37.19"/>
    <n v="37.19"/>
    <m/>
    <n v="32.229999999999997"/>
    <n v="32.229999999999997"/>
    <m/>
  </r>
  <r>
    <x v="12"/>
    <n v="60401"/>
    <s v="60401 - Kosten HF algemeen"/>
    <n v="537.5"/>
    <n v="537.5"/>
    <m/>
    <n v="1725.08"/>
    <n v="1725.08"/>
    <m/>
  </r>
  <r>
    <x v="13"/>
    <n v="60403"/>
    <s v="60403 - Kosten HF junioren"/>
    <n v="0"/>
    <m/>
    <m/>
    <n v="53.31"/>
    <n v="53.31"/>
    <m/>
  </r>
  <r>
    <x v="13"/>
    <n v="60404"/>
    <s v="60404 - Kosten HF aspiranten"/>
    <n v="246.72"/>
    <n v="246.72"/>
    <m/>
    <n v="115.29"/>
    <n v="115.29"/>
    <m/>
  </r>
  <r>
    <x v="13"/>
    <n v="60405"/>
    <s v="60405 - Kosten HF pupillen"/>
    <n v="0"/>
    <m/>
    <m/>
    <n v="130.16"/>
    <n v="130.16"/>
    <m/>
  </r>
  <r>
    <x v="13"/>
    <n v="60602"/>
    <s v="60602 - Kosten NK sneldammen jeugdteams"/>
    <n v="0"/>
    <m/>
    <m/>
    <n v="119.21"/>
    <n v="119.21"/>
    <m/>
  </r>
  <r>
    <x v="15"/>
    <n v="60604"/>
    <s v="60604 - Kosten schooldammen"/>
    <n v="2425.91"/>
    <n v="2425.91"/>
    <m/>
    <n v="1656.02"/>
    <n v="1656.02"/>
    <m/>
  </r>
  <r>
    <x v="16"/>
    <n v="60700"/>
    <s v="60700 - Kosten drukken Het Damspel"/>
    <n v="2959.7"/>
    <n v="2959.7"/>
    <m/>
    <n v="16427.189999999999"/>
    <n v="16427.189999999999"/>
    <m/>
  </r>
  <r>
    <x v="16"/>
    <n v="60701"/>
    <s v="60701 - Kosten verzending Het Damspel"/>
    <n v="6643.19"/>
    <n v="6643.19"/>
    <m/>
    <n v="0"/>
    <m/>
    <m/>
  </r>
  <r>
    <x v="16"/>
    <n v="60702"/>
    <s v="60702 - Kosten overige Het Damspel"/>
    <n v="1723.67"/>
    <n v="1723.67"/>
    <m/>
    <n v="3375"/>
    <n v="3375"/>
    <m/>
  </r>
  <r>
    <x v="7"/>
    <n v="60900"/>
    <s v="60900 - Kosten databases"/>
    <n v="4176.8999999999996"/>
    <n v="4176.8999999999996"/>
    <m/>
    <n v="743.76"/>
    <n v="743.76"/>
    <m/>
  </r>
  <r>
    <x v="17"/>
    <n v="61001"/>
    <s v="61001 - Kosten topsport"/>
    <n v="12031.81"/>
    <n v="12031.81"/>
    <m/>
    <n v="27551.65"/>
    <n v="27551.65"/>
    <m/>
  </r>
  <r>
    <x v="18"/>
    <n v="61101"/>
    <s v="61101 - Kosten CJT"/>
    <n v="120"/>
    <n v="120"/>
    <m/>
    <n v="465"/>
    <n v="465"/>
    <m/>
  </r>
  <r>
    <x v="18"/>
    <n v="61102"/>
    <s v="61102 - Kosten CAT"/>
    <n v="1140.75"/>
    <n v="1140.75"/>
    <m/>
    <n v="180"/>
    <n v="180"/>
    <m/>
  </r>
  <r>
    <x v="18"/>
    <n v="61103"/>
    <s v="61103 - Kosten CPT"/>
    <n v="4048.02"/>
    <n v="4048.02"/>
    <m/>
    <n v="135"/>
    <n v="135"/>
    <m/>
  </r>
  <r>
    <x v="18"/>
    <n v="61104"/>
    <s v="61104 - Kosten CMT"/>
    <n v="780"/>
    <n v="780"/>
    <m/>
    <n v="900"/>
    <n v="900"/>
    <m/>
  </r>
  <r>
    <x v="19"/>
    <n v="61109"/>
    <s v="61109 - Kosten ov. voorber./training jeugd"/>
    <n v="2000"/>
    <n v="2000"/>
    <m/>
    <n v="625.79999999999995"/>
    <n v="625.79999999999995"/>
    <m/>
  </r>
  <r>
    <x v="20"/>
    <n v="61201"/>
    <s v="61201 - Kosten EK algemeen"/>
    <n v="14841"/>
    <n v="14841"/>
    <m/>
    <n v="1021.55"/>
    <n v="1021.55"/>
    <m/>
  </r>
  <r>
    <x v="20"/>
    <n v="61202"/>
    <s v="61202 - Kosten EK vrouwen"/>
    <n v="2000.48"/>
    <n v="2000.48"/>
    <m/>
    <n v="0"/>
    <m/>
    <m/>
  </r>
  <r>
    <x v="20"/>
    <n v="61203"/>
    <s v="61203 - Kosten WK algemeen"/>
    <n v="15196.2"/>
    <n v="15196.2"/>
    <m/>
    <n v="17787.22"/>
    <n v="17787.22"/>
    <m/>
  </r>
  <r>
    <x v="20"/>
    <n v="61204"/>
    <s v="61204 - Kosten WK vrouwen"/>
    <n v="1485"/>
    <n v="1485"/>
    <m/>
    <n v="1300"/>
    <n v="1300"/>
    <m/>
  </r>
  <r>
    <x v="20"/>
    <n v="61205"/>
    <s v="61205 - Kosten WK landen/Olympiade"/>
    <n v="1838.47"/>
    <n v="1838.47"/>
    <m/>
    <n v="0"/>
    <m/>
    <m/>
  </r>
  <r>
    <x v="19"/>
    <n v="61301"/>
    <s v="61301 - Kosten EK jeugd"/>
    <n v="38569.86"/>
    <n v="38569.86"/>
    <m/>
    <n v="35720.519999999997"/>
    <n v="35720.519999999997"/>
    <m/>
  </r>
  <r>
    <x v="19"/>
    <n v="61305"/>
    <s v="61305 - Kosten WK jeugd"/>
    <n v="12297"/>
    <n v="12297"/>
    <m/>
    <n v="29909"/>
    <n v="29909"/>
    <m/>
  </r>
  <r>
    <x v="17"/>
    <n v="61401"/>
    <s v="61401 - Kosten Talentontwikkeling"/>
    <n v="0"/>
    <m/>
    <m/>
    <n v="5000"/>
    <n v="5000"/>
    <m/>
  </r>
  <r>
    <x v="3"/>
    <n v="66000"/>
    <s v="66000 - Kosten inkopen (bondswinkel)"/>
    <n v="4522.1000000000004"/>
    <n v="4522.1000000000004"/>
    <m/>
    <n v="0"/>
    <m/>
    <m/>
  </r>
  <r>
    <x v="21"/>
    <n v="67000"/>
    <s v="67000 - Kosten opleidingen"/>
    <n v="0"/>
    <m/>
    <m/>
    <n v="50"/>
    <n v="50"/>
    <m/>
  </r>
  <r>
    <x v="10"/>
    <n v="70001"/>
    <s v="70001 - Opbrengst subsidie talentcoach"/>
    <n v="0"/>
    <m/>
    <m/>
    <n v="-11493.26"/>
    <m/>
    <n v="11493.26"/>
  </r>
  <r>
    <x v="10"/>
    <n v="70005"/>
    <s v="70005 - Opbrengst subsidie TO/Topsport 3.1a"/>
    <n v="-47128.25"/>
    <m/>
    <n v="47128.25"/>
    <n v="-256213"/>
    <m/>
    <n v="256213"/>
  </r>
  <r>
    <x v="10"/>
    <n v="70008"/>
    <s v="70008 - Opbrengst sponsoring"/>
    <n v="0"/>
    <m/>
    <m/>
    <n v="-36761"/>
    <m/>
    <n v="36761"/>
  </r>
  <r>
    <x v="12"/>
    <n v="70101"/>
    <s v="70101 - Opbrengst NK algemeen"/>
    <n v="-1800"/>
    <m/>
    <n v="1800"/>
    <n v="182.06"/>
    <n v="182.06"/>
    <m/>
  </r>
  <r>
    <x v="13"/>
    <n v="70104"/>
    <s v="70104 - Opbrengst NK aspiranten"/>
    <n v="-250"/>
    <m/>
    <n v="250"/>
    <n v="0"/>
    <m/>
    <m/>
  </r>
  <r>
    <x v="13"/>
    <n v="70106"/>
    <s v="70106 - Opbrengst NK welpen"/>
    <n v="-380"/>
    <m/>
    <n v="380"/>
    <n v="0"/>
    <m/>
    <m/>
  </r>
  <r>
    <x v="13"/>
    <n v="70107"/>
    <s v="70107 - Opbrengst NK sneldammen"/>
    <n v="-997"/>
    <m/>
    <n v="997"/>
    <n v="0"/>
    <m/>
    <m/>
  </r>
  <r>
    <x v="14"/>
    <n v="70201"/>
    <s v="70201 - Opbrengst Nationale Competitie"/>
    <n v="0"/>
    <m/>
    <m/>
    <n v="-18285.87"/>
    <m/>
    <n v="18285.87"/>
  </r>
  <r>
    <x v="13"/>
    <n v="70303"/>
    <s v="70303 - Opbrengst NK pupillen meisjes"/>
    <n v="-200"/>
    <m/>
    <n v="200"/>
    <n v="0"/>
    <m/>
    <m/>
  </r>
  <r>
    <x v="12"/>
    <n v="70401"/>
    <s v="70401 - Opbrengst HF algemeen"/>
    <n v="-1388.52"/>
    <m/>
    <n v="1388.52"/>
    <n v="-1487.7"/>
    <m/>
    <n v="1487.7"/>
  </r>
  <r>
    <x v="13"/>
    <n v="70603"/>
    <s v="70603 - Opbrengst Nationale Jeugddamdag"/>
    <n v="262.06"/>
    <n v="262.06"/>
    <m/>
    <n v="0"/>
    <m/>
    <m/>
  </r>
  <r>
    <x v="16"/>
    <n v="70701"/>
    <s v="70701 - Opbrengst Het Damspel overige opbrengsten"/>
    <n v="0"/>
    <m/>
    <m/>
    <n v="-22.5"/>
    <m/>
    <n v="22.5"/>
  </r>
  <r>
    <x v="17"/>
    <n v="71001"/>
    <s v="71001 - Opbrengst topsport"/>
    <n v="0"/>
    <m/>
    <m/>
    <n v="-7190.07"/>
    <m/>
    <n v="7190.07"/>
  </r>
  <r>
    <x v="18"/>
    <n v="71101"/>
    <s v="71101 - Opbrengst CJT"/>
    <n v="-1586.76"/>
    <m/>
    <n v="1586.76"/>
    <n v="-1482.58"/>
    <m/>
    <n v="1482.58"/>
  </r>
  <r>
    <x v="18"/>
    <n v="71102"/>
    <s v="71102 - Opbrengst CAT"/>
    <n v="-870.3"/>
    <m/>
    <n v="870.3"/>
    <n v="-1036.31"/>
    <m/>
    <n v="1036.31"/>
  </r>
  <r>
    <x v="18"/>
    <n v="71103"/>
    <s v="71103 - Opbrengst CPT"/>
    <n v="-1214.92"/>
    <m/>
    <n v="1214.92"/>
    <n v="0"/>
    <m/>
    <m/>
  </r>
  <r>
    <x v="18"/>
    <n v="71104"/>
    <s v="71104 - Opbrengst CMT"/>
    <n v="-954.6"/>
    <m/>
    <n v="954.6"/>
    <n v="-681.78"/>
    <m/>
    <n v="681.78"/>
  </r>
  <r>
    <x v="20"/>
    <n v="71201"/>
    <s v="71201 - Opbrengst EK algemeen"/>
    <n v="0"/>
    <m/>
    <m/>
    <n v="-160"/>
    <m/>
    <n v="160"/>
  </r>
  <r>
    <x v="20"/>
    <n v="71203"/>
    <s v="71203 - Opbrengst WK algemeen"/>
    <n v="-11648.16"/>
    <m/>
    <n v="11648.16"/>
    <n v="-5704.84"/>
    <m/>
    <n v="5704.84"/>
  </r>
  <r>
    <x v="20"/>
    <n v="71209"/>
    <s v="71209 - Opbrengst overige intern. wedstr. sen."/>
    <n v="-3461.6"/>
    <m/>
    <n v="3461.6"/>
    <n v="-6192.04"/>
    <m/>
    <n v="6192.04"/>
  </r>
  <r>
    <x v="19"/>
    <n v="71301"/>
    <s v="71301 - Opbrengst EK jeugd"/>
    <n v="-33097.58"/>
    <m/>
    <n v="33097.58"/>
    <n v="-31539.61"/>
    <m/>
    <n v="31539.61"/>
  </r>
  <r>
    <x v="19"/>
    <n v="71305"/>
    <s v="71305 - Opbrengst WK jeugd"/>
    <n v="0"/>
    <m/>
    <m/>
    <n v="-26224.66"/>
    <m/>
    <n v="26224.66"/>
  </r>
  <r>
    <x v="3"/>
    <n v="76000"/>
    <s v="76000 - Opbrengst verkopen (bondswinkel)"/>
    <n v="-41.32"/>
    <m/>
    <n v="41.32"/>
    <n v="-976.45"/>
    <m/>
    <n v="976.45"/>
  </r>
  <r>
    <x v="3"/>
    <n v="76001"/>
    <s v="76001 - Opbrengst porto bondswinkel"/>
    <n v="-3394.03"/>
    <m/>
    <n v="3394.03"/>
    <n v="-14"/>
    <m/>
    <n v="14"/>
  </r>
  <r>
    <x v="10"/>
    <n v="78000"/>
    <s v="78000 - Opbrengst NOC*NSF 1.1 Leven Lang Sporten"/>
    <n v="-140290.25"/>
    <m/>
    <n v="140290.25"/>
    <n v="0"/>
    <m/>
    <m/>
  </r>
  <r>
    <x v="10"/>
    <n v="78090"/>
    <s v="78090 - Opbrengst NOC*NSF overig"/>
    <n v="-2450"/>
    <m/>
    <n v="2450"/>
    <n v="0"/>
    <m/>
    <m/>
  </r>
  <r>
    <x v="7"/>
    <n v="80301"/>
    <s v="80301 - Kosten dammen en internet"/>
    <n v="137"/>
    <n v="137"/>
    <m/>
    <n v="0"/>
    <m/>
    <m/>
  </r>
  <r>
    <x v="22"/>
    <n v="90000"/>
    <s v="90000 - Bijzondere baten"/>
    <n v="0"/>
    <m/>
    <m/>
    <n v="-3759.52"/>
    <m/>
    <n v="3759.52"/>
  </r>
  <r>
    <x v="22"/>
    <n v="90001"/>
    <s v="90001 - Bijzondere lasten"/>
    <n v="0"/>
    <m/>
    <m/>
    <n v="20500"/>
    <n v="20500"/>
    <m/>
  </r>
  <r>
    <x v="3"/>
    <n v="90002"/>
    <s v="90002 - Baten voorgaand boekjaar"/>
    <n v="-72.66"/>
    <m/>
    <n v="72.66"/>
    <n v="0"/>
    <m/>
    <m/>
  </r>
  <r>
    <x v="0"/>
    <m/>
    <s v="Totaal: Niet gekoppeld"/>
    <n v="-26747.03"/>
    <m/>
    <n v="26747.03"/>
    <n v="10143.629999999999"/>
    <n v="10143.629999999999"/>
    <m/>
  </r>
  <r>
    <x v="0"/>
    <m/>
    <s v="Resultaat"/>
    <n v="26747.03"/>
    <n v="26747.03"/>
    <m/>
    <n v="-10143.629999999999"/>
    <m/>
    <n v="10143.629999999999"/>
  </r>
  <r>
    <x v="0"/>
    <m/>
    <s v="Totaal: WINST- EN VERLIESREKENING"/>
    <n v="0"/>
    <n v="26747.03"/>
    <n v="26747.03"/>
    <n v="0"/>
    <n v="10143.629999999999"/>
    <n v="10143.629999999999"/>
  </r>
  <r>
    <x v="0"/>
    <m/>
    <m/>
    <m/>
    <m/>
    <m/>
    <m/>
    <m/>
    <m/>
  </r>
  <r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1:C23" firstHeaderRow="0" firstDataRow="1" firstDataCol="1"/>
  <pivotFields count="9">
    <pivotField axis="axisRow" showAll="0">
      <items count="24">
        <item x="4"/>
        <item x="8"/>
        <item x="22"/>
        <item x="9"/>
        <item x="16"/>
        <item x="2"/>
        <item x="19"/>
        <item x="20"/>
        <item x="7"/>
        <item x="3"/>
        <item x="5"/>
        <item x="13"/>
        <item x="12"/>
        <item x="14"/>
        <item x="21"/>
        <item x="6"/>
        <item x="1"/>
        <item x="15"/>
        <item x="10"/>
        <item x="17"/>
        <item x="18"/>
        <item h="1" x="0"/>
        <item h="1" x="11"/>
        <item t="default"/>
      </items>
    </pivotField>
    <pivotField showAll="0"/>
    <pivotField showAll="0"/>
    <pivotField dataField="1" showAll="0"/>
    <pivotField showAll="0"/>
    <pivotField showAll="0"/>
    <pivotField dataField="1" showAll="0"/>
    <pivotField showAll="0"/>
    <pivotField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2024 totaal" fld="3" baseField="0" baseItem="0"/>
    <dataField name="Som van 2023 totaal" fld="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1:C25" firstHeaderRow="0" firstDataRow="1" firstDataCol="1"/>
  <pivotFields count="4">
    <pivotField axis="axisRow" showAll="0">
      <items count="24">
        <item x="2"/>
        <item x="7"/>
        <item x="21"/>
        <item x="8"/>
        <item x="14"/>
        <item x="1"/>
        <item x="17"/>
        <item x="18"/>
        <item x="6"/>
        <item x="3"/>
        <item x="4"/>
        <item x="11"/>
        <item x="10"/>
        <item x="12"/>
        <item x="19"/>
        <item x="5"/>
        <item x="0"/>
        <item x="13"/>
        <item x="9"/>
        <item x="15"/>
        <item x="16"/>
        <item x="22"/>
        <item x="20"/>
        <item t="default"/>
      </items>
    </pivotField>
    <pivotField showAll="0"/>
    <pivotField dataField="1" showAll="0"/>
    <pivotField dataField="1"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Kosten" fld="2" baseField="0" baseItem="0"/>
    <dataField name="Som van Opbrengste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9"/>
  <sheetViews>
    <sheetView workbookViewId="0">
      <selection activeCell="Q1" sqref="Q1"/>
    </sheetView>
  </sheetViews>
  <sheetFormatPr defaultColWidth="8.85546875" defaultRowHeight="15"/>
  <cols>
    <col min="1" max="1" width="3" style="1" customWidth="1"/>
    <col min="2" max="2" width="26.28515625" customWidth="1"/>
    <col min="3" max="3" width="31.28515625" hidden="1" customWidth="1"/>
    <col min="4" max="5" width="9" hidden="1" customWidth="1"/>
    <col min="6" max="17" width="10.28515625" customWidth="1"/>
  </cols>
  <sheetData>
    <row r="1" spans="1:20" ht="31.5">
      <c r="A1" s="56" t="s">
        <v>103</v>
      </c>
      <c r="Q1" s="2">
        <v>44476</v>
      </c>
    </row>
    <row r="2" spans="1:20" ht="11.25" customHeight="1">
      <c r="A2" s="56"/>
    </row>
    <row r="3" spans="1:20" ht="14.25" customHeight="1">
      <c r="A3" s="55"/>
      <c r="B3" s="54"/>
      <c r="C3" s="54"/>
      <c r="D3" s="135" t="s">
        <v>102</v>
      </c>
      <c r="E3" s="136"/>
      <c r="F3" s="135" t="s">
        <v>101</v>
      </c>
      <c r="G3" s="136"/>
      <c r="H3" s="135" t="s">
        <v>100</v>
      </c>
      <c r="I3" s="136"/>
      <c r="J3" s="135" t="s">
        <v>99</v>
      </c>
      <c r="K3" s="136"/>
      <c r="L3" s="133" t="s">
        <v>98</v>
      </c>
      <c r="M3" s="134"/>
      <c r="N3" s="133" t="s">
        <v>97</v>
      </c>
      <c r="O3" s="134"/>
      <c r="P3" s="133" t="s">
        <v>96</v>
      </c>
      <c r="Q3" s="134"/>
    </row>
    <row r="4" spans="1:20">
      <c r="A4" s="27"/>
      <c r="B4" s="4" t="s">
        <v>95</v>
      </c>
      <c r="C4" s="27" t="s">
        <v>94</v>
      </c>
      <c r="D4" s="53" t="s">
        <v>93</v>
      </c>
      <c r="E4" s="52" t="s">
        <v>44</v>
      </c>
      <c r="F4" s="53" t="s">
        <v>93</v>
      </c>
      <c r="G4" s="52" t="s">
        <v>44</v>
      </c>
      <c r="H4" s="53" t="s">
        <v>93</v>
      </c>
      <c r="I4" s="52" t="s">
        <v>44</v>
      </c>
      <c r="J4" s="53" t="s">
        <v>93</v>
      </c>
      <c r="K4" s="52" t="s">
        <v>44</v>
      </c>
      <c r="L4" s="51" t="s">
        <v>93</v>
      </c>
      <c r="M4" s="50" t="s">
        <v>44</v>
      </c>
      <c r="N4" s="51" t="s">
        <v>93</v>
      </c>
      <c r="O4" s="50" t="s">
        <v>44</v>
      </c>
      <c r="P4" s="51" t="s">
        <v>93</v>
      </c>
      <c r="Q4" s="50" t="s">
        <v>44</v>
      </c>
    </row>
    <row r="5" spans="1:20" ht="15.75" thickBot="1">
      <c r="A5" s="48"/>
      <c r="B5" s="49"/>
      <c r="C5" s="48"/>
      <c r="D5" s="47"/>
      <c r="E5" s="46"/>
      <c r="F5" s="45" t="s">
        <v>92</v>
      </c>
      <c r="G5" s="44" t="s">
        <v>91</v>
      </c>
      <c r="H5" s="43" t="s">
        <v>90</v>
      </c>
      <c r="I5" s="42" t="s">
        <v>89</v>
      </c>
      <c r="J5" s="43" t="s">
        <v>88</v>
      </c>
      <c r="K5" s="42" t="s">
        <v>87</v>
      </c>
      <c r="L5" s="41" t="s">
        <v>86</v>
      </c>
      <c r="M5" s="40" t="s">
        <v>85</v>
      </c>
      <c r="N5" s="41" t="s">
        <v>84</v>
      </c>
      <c r="O5" s="40" t="s">
        <v>83</v>
      </c>
      <c r="P5" s="41" t="s">
        <v>82</v>
      </c>
      <c r="Q5" s="40" t="s">
        <v>81</v>
      </c>
    </row>
    <row r="6" spans="1:20">
      <c r="C6" s="6"/>
      <c r="D6" s="32"/>
      <c r="E6" s="31"/>
      <c r="F6" s="32"/>
      <c r="G6" s="31"/>
      <c r="H6" s="32"/>
      <c r="I6" s="31"/>
      <c r="J6" s="32"/>
      <c r="K6" s="31"/>
      <c r="L6" s="30"/>
      <c r="M6" s="29"/>
      <c r="N6" s="30"/>
      <c r="O6" s="29"/>
      <c r="P6" s="30"/>
      <c r="Q6" s="29"/>
    </row>
    <row r="7" spans="1:20">
      <c r="A7" s="1">
        <v>1</v>
      </c>
      <c r="B7" t="s">
        <v>80</v>
      </c>
      <c r="C7" s="6"/>
      <c r="D7" s="32">
        <v>126693</v>
      </c>
      <c r="E7" s="31"/>
      <c r="F7" s="32">
        <v>123753</v>
      </c>
      <c r="G7" s="31"/>
      <c r="H7" s="32">
        <v>116000</v>
      </c>
      <c r="I7" s="31"/>
      <c r="J7" s="32">
        <v>112086</v>
      </c>
      <c r="K7" s="31"/>
      <c r="L7" s="30">
        <v>98000</v>
      </c>
      <c r="M7" s="29"/>
      <c r="N7" s="30">
        <v>109000</v>
      </c>
      <c r="O7" s="29"/>
      <c r="P7" s="30">
        <v>105750</v>
      </c>
      <c r="Q7" s="29"/>
      <c r="R7" s="39"/>
      <c r="S7" s="38"/>
      <c r="T7" s="37"/>
    </row>
    <row r="8" spans="1:20">
      <c r="A8" s="1">
        <v>2</v>
      </c>
      <c r="B8" t="s">
        <v>79</v>
      </c>
      <c r="C8" s="6" t="s">
        <v>78</v>
      </c>
      <c r="D8" s="32">
        <v>36035</v>
      </c>
      <c r="E8" s="31">
        <v>191026</v>
      </c>
      <c r="F8" s="32">
        <v>33909</v>
      </c>
      <c r="G8" s="31">
        <v>186157</v>
      </c>
      <c r="H8" s="32">
        <v>33805</v>
      </c>
      <c r="I8" s="31">
        <v>184120</v>
      </c>
      <c r="J8" s="32">
        <v>39627</v>
      </c>
      <c r="K8" s="31">
        <v>173175</v>
      </c>
      <c r="L8" s="30">
        <v>50000</v>
      </c>
      <c r="M8" s="29">
        <v>175675</v>
      </c>
      <c r="N8" s="30">
        <v>50000</v>
      </c>
      <c r="O8" s="29">
        <v>176000</v>
      </c>
      <c r="P8" s="30">
        <v>50000</v>
      </c>
      <c r="Q8" s="29">
        <v>177000</v>
      </c>
    </row>
    <row r="9" spans="1:20">
      <c r="A9" s="1">
        <v>3</v>
      </c>
      <c r="B9" t="s">
        <v>77</v>
      </c>
      <c r="C9" s="6" t="s">
        <v>76</v>
      </c>
      <c r="D9" s="32">
        <v>11418</v>
      </c>
      <c r="E9" s="31"/>
      <c r="F9" s="32">
        <v>1957</v>
      </c>
      <c r="G9" s="31"/>
      <c r="H9" s="32">
        <v>11050</v>
      </c>
      <c r="I9" s="31"/>
      <c r="J9" s="32">
        <v>5225</v>
      </c>
      <c r="K9" s="31"/>
      <c r="L9" s="30">
        <v>7535</v>
      </c>
      <c r="M9" s="29"/>
      <c r="N9" s="30">
        <f>('W&amp;V 21&amp;22&amp;23'!F95+'W&amp;V 21&amp;22&amp;23'!F55)*-1</f>
        <v>9219.26</v>
      </c>
      <c r="O9" s="29"/>
      <c r="P9" s="30">
        <v>11000</v>
      </c>
      <c r="Q9" s="29"/>
    </row>
    <row r="10" spans="1:20">
      <c r="C10" s="6"/>
      <c r="D10" s="32"/>
      <c r="E10" s="31"/>
      <c r="F10" s="32"/>
      <c r="G10" s="31"/>
      <c r="H10" s="32"/>
      <c r="I10" s="31"/>
      <c r="J10" s="32"/>
      <c r="K10" s="31"/>
      <c r="L10" s="30"/>
      <c r="M10" s="29"/>
      <c r="N10" s="30"/>
      <c r="O10" s="29"/>
      <c r="P10" s="30"/>
      <c r="Q10" s="29"/>
    </row>
    <row r="11" spans="1:20">
      <c r="A11" s="22"/>
      <c r="B11" s="21" t="s">
        <v>75</v>
      </c>
      <c r="C11" s="20"/>
      <c r="D11" s="36">
        <f t="shared" ref="D11:Q11" si="0">SUM(D7:D10)</f>
        <v>174146</v>
      </c>
      <c r="E11" s="35">
        <f t="shared" si="0"/>
        <v>191026</v>
      </c>
      <c r="F11" s="36">
        <f t="shared" si="0"/>
        <v>159619</v>
      </c>
      <c r="G11" s="35">
        <f t="shared" si="0"/>
        <v>186157</v>
      </c>
      <c r="H11" s="36">
        <f t="shared" si="0"/>
        <v>160855</v>
      </c>
      <c r="I11" s="35">
        <f t="shared" si="0"/>
        <v>184120</v>
      </c>
      <c r="J11" s="36">
        <f t="shared" si="0"/>
        <v>156938</v>
      </c>
      <c r="K11" s="35">
        <f t="shared" si="0"/>
        <v>173175</v>
      </c>
      <c r="L11" s="34">
        <f t="shared" si="0"/>
        <v>155535</v>
      </c>
      <c r="M11" s="33">
        <f t="shared" si="0"/>
        <v>175675</v>
      </c>
      <c r="N11" s="34">
        <f t="shared" si="0"/>
        <v>168219.26</v>
      </c>
      <c r="O11" s="33">
        <f t="shared" si="0"/>
        <v>176000</v>
      </c>
      <c r="P11" s="34">
        <f t="shared" si="0"/>
        <v>166750</v>
      </c>
      <c r="Q11" s="33">
        <f t="shared" si="0"/>
        <v>177000</v>
      </c>
    </row>
    <row r="12" spans="1:20">
      <c r="C12" s="6"/>
      <c r="D12" s="32"/>
      <c r="E12" s="31"/>
      <c r="F12" s="32"/>
      <c r="G12" s="31"/>
      <c r="H12" s="32"/>
      <c r="I12" s="31"/>
      <c r="J12" s="32"/>
      <c r="K12" s="31"/>
      <c r="L12" s="30"/>
      <c r="M12" s="29"/>
      <c r="N12" s="30"/>
      <c r="O12" s="29"/>
      <c r="P12" s="30"/>
      <c r="Q12" s="29"/>
    </row>
    <row r="13" spans="1:20">
      <c r="A13" s="1">
        <v>4</v>
      </c>
      <c r="B13" t="s">
        <v>74</v>
      </c>
      <c r="C13" s="6" t="s">
        <v>73</v>
      </c>
      <c r="D13" s="15">
        <v>70742</v>
      </c>
      <c r="E13" s="6">
        <v>161405.23000000001</v>
      </c>
      <c r="F13" s="15">
        <v>64095</v>
      </c>
      <c r="G13" s="6">
        <v>171466</v>
      </c>
      <c r="H13" s="15">
        <v>62692</v>
      </c>
      <c r="I13" s="6">
        <v>159221</v>
      </c>
      <c r="J13" s="15">
        <v>62346</v>
      </c>
      <c r="K13" s="6">
        <v>155595</v>
      </c>
      <c r="L13" s="14">
        <v>63862.04</v>
      </c>
      <c r="M13" s="13">
        <v>156048.57999999999</v>
      </c>
      <c r="N13" s="14">
        <f>+L13*1.015</f>
        <v>64819.970599999993</v>
      </c>
      <c r="O13" s="13">
        <f>+M13*1.015</f>
        <v>158389.30869999997</v>
      </c>
      <c r="P13" s="14">
        <f>+N13*1.015</f>
        <v>65792.270158999992</v>
      </c>
      <c r="Q13" s="13">
        <f>+O13*1.015</f>
        <v>160765.14833049994</v>
      </c>
    </row>
    <row r="14" spans="1:20">
      <c r="A14" s="1">
        <v>5</v>
      </c>
      <c r="B14" t="s">
        <v>72</v>
      </c>
      <c r="C14" s="6" t="s">
        <v>71</v>
      </c>
      <c r="D14" s="15">
        <f>2792.5+22568</f>
        <v>25360.5</v>
      </c>
      <c r="F14" s="15">
        <v>36932</v>
      </c>
      <c r="H14" s="15">
        <f>18560+5000</f>
        <v>23560</v>
      </c>
      <c r="J14" s="15">
        <f>18191-1000</f>
        <v>17191</v>
      </c>
      <c r="L14" s="14">
        <v>23822.81</v>
      </c>
      <c r="M14" s="28"/>
      <c r="N14" s="14">
        <v>25000</v>
      </c>
      <c r="O14" s="28"/>
      <c r="P14" s="14">
        <v>22000</v>
      </c>
      <c r="Q14" s="28"/>
    </row>
    <row r="15" spans="1:20">
      <c r="A15" s="1">
        <v>6</v>
      </c>
      <c r="B15" t="s">
        <v>70</v>
      </c>
      <c r="C15" s="6" t="s">
        <v>69</v>
      </c>
      <c r="D15" s="15">
        <v>15883</v>
      </c>
      <c r="E15" s="6"/>
      <c r="F15" s="15">
        <v>15401</v>
      </c>
      <c r="G15" s="6"/>
      <c r="H15" s="15">
        <v>14950</v>
      </c>
      <c r="I15" s="6"/>
      <c r="J15" s="15">
        <v>15692</v>
      </c>
      <c r="K15" s="6"/>
      <c r="L15" s="14">
        <v>13792.67</v>
      </c>
      <c r="M15" s="13"/>
      <c r="N15" s="14">
        <f>+L15*1.025</f>
        <v>14137.486749999998</v>
      </c>
      <c r="O15" s="13"/>
      <c r="P15" s="14">
        <f>+N15*1.025</f>
        <v>14490.923918749997</v>
      </c>
      <c r="Q15" s="13"/>
    </row>
    <row r="16" spans="1:20">
      <c r="A16" s="1">
        <v>7</v>
      </c>
      <c r="B16" t="s">
        <v>68</v>
      </c>
      <c r="C16" s="6" t="s">
        <v>67</v>
      </c>
      <c r="D16" s="15">
        <v>10549</v>
      </c>
      <c r="E16" s="6"/>
      <c r="F16" s="15">
        <v>2325</v>
      </c>
      <c r="G16" s="6"/>
      <c r="H16" s="15">
        <v>13500</v>
      </c>
      <c r="I16" s="6"/>
      <c r="J16" s="15">
        <v>12050</v>
      </c>
      <c r="K16" s="6"/>
      <c r="L16" s="14">
        <v>13897</v>
      </c>
      <c r="M16" s="13"/>
      <c r="N16" s="14">
        <v>14000</v>
      </c>
      <c r="O16" s="13"/>
      <c r="P16" s="14">
        <v>14000</v>
      </c>
      <c r="Q16" s="13"/>
    </row>
    <row r="17" spans="1:17">
      <c r="A17" s="1">
        <v>17</v>
      </c>
      <c r="B17" t="s">
        <v>66</v>
      </c>
      <c r="C17" s="6" t="s">
        <v>65</v>
      </c>
      <c r="D17" s="15">
        <v>7753</v>
      </c>
      <c r="E17" s="6"/>
      <c r="F17" s="15">
        <v>12991</v>
      </c>
      <c r="G17" s="6"/>
      <c r="H17" s="15">
        <v>5000</v>
      </c>
      <c r="I17" s="6"/>
      <c r="J17" s="15">
        <v>4950</v>
      </c>
      <c r="K17" s="6"/>
      <c r="L17" s="14">
        <v>6611</v>
      </c>
      <c r="M17" s="13"/>
      <c r="N17" s="14">
        <v>5000</v>
      </c>
      <c r="O17" s="13"/>
      <c r="P17" s="14">
        <v>3000</v>
      </c>
      <c r="Q17" s="13"/>
    </row>
    <row r="18" spans="1:17">
      <c r="A18" s="1">
        <v>9</v>
      </c>
      <c r="B18" t="s">
        <v>64</v>
      </c>
      <c r="C18" s="6" t="s">
        <v>43</v>
      </c>
      <c r="D18" s="15">
        <v>8514</v>
      </c>
      <c r="E18" s="6"/>
      <c r="F18" s="15">
        <v>7579</v>
      </c>
      <c r="G18" s="6"/>
      <c r="H18" s="15">
        <v>7000</v>
      </c>
      <c r="I18" s="6"/>
      <c r="J18" s="15">
        <v>6854</v>
      </c>
      <c r="K18" s="6"/>
      <c r="L18" s="14">
        <v>8289.26</v>
      </c>
      <c r="M18" s="13"/>
      <c r="N18" s="14">
        <f>+L18*1.015</f>
        <v>8413.598899999999</v>
      </c>
      <c r="O18" s="13"/>
      <c r="P18" s="14">
        <f>+N18*1.015</f>
        <v>8539.8028834999986</v>
      </c>
      <c r="Q18" s="13"/>
    </row>
    <row r="19" spans="1:17">
      <c r="A19" s="1">
        <v>10</v>
      </c>
      <c r="B19" t="s">
        <v>63</v>
      </c>
      <c r="C19" s="6" t="s">
        <v>62</v>
      </c>
      <c r="D19" s="15">
        <v>7494</v>
      </c>
      <c r="E19" s="6"/>
      <c r="F19" s="15">
        <v>7494</v>
      </c>
      <c r="G19" s="6"/>
      <c r="H19" s="15">
        <v>7500</v>
      </c>
      <c r="I19" s="6"/>
      <c r="J19" s="15">
        <v>7309</v>
      </c>
      <c r="K19" s="6"/>
      <c r="L19" s="14">
        <v>7500</v>
      </c>
      <c r="M19" s="13"/>
      <c r="N19" s="14">
        <v>7500</v>
      </c>
      <c r="O19" s="13"/>
      <c r="P19" s="14">
        <v>7500</v>
      </c>
      <c r="Q19" s="13"/>
    </row>
    <row r="20" spans="1:17">
      <c r="A20" s="1">
        <v>16</v>
      </c>
      <c r="B20" t="s">
        <v>61</v>
      </c>
      <c r="C20" s="6" t="s">
        <v>60</v>
      </c>
      <c r="D20" s="15">
        <v>3976</v>
      </c>
      <c r="E20" s="6"/>
      <c r="F20" s="15">
        <v>4118</v>
      </c>
      <c r="G20" s="6"/>
      <c r="H20" s="15">
        <v>4200</v>
      </c>
      <c r="I20" s="6"/>
      <c r="J20" s="15">
        <v>4200</v>
      </c>
      <c r="K20" s="6"/>
      <c r="L20" s="14">
        <v>4027</v>
      </c>
      <c r="M20" s="13"/>
      <c r="N20" s="14">
        <f>+L20*1.025</f>
        <v>4127.6749999999993</v>
      </c>
      <c r="O20" s="13"/>
      <c r="P20" s="14">
        <f>+N20*1.025</f>
        <v>4230.8668749999988</v>
      </c>
      <c r="Q20" s="13"/>
    </row>
    <row r="21" spans="1:17">
      <c r="A21" s="1">
        <v>20</v>
      </c>
      <c r="B21" t="s">
        <v>59</v>
      </c>
      <c r="C21" s="6"/>
      <c r="D21" s="15">
        <v>3512</v>
      </c>
      <c r="E21" s="6"/>
      <c r="F21" s="15">
        <v>3148</v>
      </c>
      <c r="G21" s="6"/>
      <c r="H21" s="15">
        <v>3500</v>
      </c>
      <c r="I21" s="6"/>
      <c r="J21" s="15">
        <v>2430</v>
      </c>
      <c r="K21" s="6"/>
      <c r="L21" s="14">
        <v>3500</v>
      </c>
      <c r="M21" s="13"/>
      <c r="N21" s="14">
        <v>3500</v>
      </c>
      <c r="O21" s="13"/>
      <c r="P21" s="14">
        <v>2500</v>
      </c>
      <c r="Q21" s="13"/>
    </row>
    <row r="22" spans="1:17">
      <c r="A22" s="1">
        <v>18</v>
      </c>
      <c r="B22" t="s">
        <v>58</v>
      </c>
      <c r="C22" s="6" t="s">
        <v>57</v>
      </c>
      <c r="D22" s="15">
        <v>6196</v>
      </c>
      <c r="E22" s="6"/>
      <c r="F22" s="15">
        <v>2110</v>
      </c>
      <c r="G22" s="6"/>
      <c r="H22" s="15">
        <v>5750</v>
      </c>
      <c r="I22" s="6"/>
      <c r="J22" s="15">
        <v>2200</v>
      </c>
      <c r="K22" s="6"/>
      <c r="L22" s="14">
        <v>3700</v>
      </c>
      <c r="M22" s="13"/>
      <c r="N22" s="14">
        <v>3000</v>
      </c>
      <c r="O22" s="13"/>
      <c r="P22" s="14">
        <v>3000</v>
      </c>
      <c r="Q22" s="13"/>
    </row>
    <row r="23" spans="1:17">
      <c r="A23" s="1">
        <v>13</v>
      </c>
      <c r="B23" t="s">
        <v>56</v>
      </c>
      <c r="C23" s="6" t="s">
        <v>55</v>
      </c>
      <c r="D23" s="15">
        <v>5292</v>
      </c>
      <c r="E23" s="6"/>
      <c r="F23" s="15">
        <v>1626</v>
      </c>
      <c r="G23" s="6"/>
      <c r="H23" s="15">
        <v>1000</v>
      </c>
      <c r="I23" s="6"/>
      <c r="J23" s="15">
        <v>500</v>
      </c>
      <c r="K23" s="6"/>
      <c r="L23" s="14">
        <v>413</v>
      </c>
      <c r="M23" s="13"/>
      <c r="N23" s="14">
        <v>413</v>
      </c>
      <c r="O23" s="13"/>
      <c r="P23" s="14">
        <v>413</v>
      </c>
      <c r="Q23" s="13"/>
    </row>
    <row r="24" spans="1:17">
      <c r="A24" s="1">
        <v>19</v>
      </c>
      <c r="B24" t="s">
        <v>54</v>
      </c>
      <c r="C24" s="6"/>
      <c r="D24" s="15">
        <v>2434</v>
      </c>
      <c r="E24" s="6"/>
      <c r="F24" s="15">
        <v>117</v>
      </c>
      <c r="G24" s="6"/>
      <c r="H24" s="15">
        <v>3000</v>
      </c>
      <c r="I24" s="6"/>
      <c r="J24" s="15">
        <v>500</v>
      </c>
      <c r="K24" s="6"/>
      <c r="L24" s="14">
        <v>3000</v>
      </c>
      <c r="M24" s="13"/>
      <c r="N24" s="14">
        <v>3000</v>
      </c>
      <c r="O24" s="13"/>
      <c r="P24" s="14">
        <v>3000</v>
      </c>
      <c r="Q24" s="13"/>
    </row>
    <row r="25" spans="1:17">
      <c r="A25" s="1">
        <v>14</v>
      </c>
      <c r="B25" t="s">
        <v>53</v>
      </c>
      <c r="C25" s="6" t="s">
        <v>43</v>
      </c>
      <c r="D25" s="15">
        <v>5215</v>
      </c>
      <c r="E25" s="6"/>
      <c r="F25" s="15">
        <v>291</v>
      </c>
      <c r="G25" s="6"/>
      <c r="H25" s="15">
        <v>5990</v>
      </c>
      <c r="I25" s="6"/>
      <c r="J25" s="15">
        <v>6320</v>
      </c>
      <c r="K25" s="6"/>
      <c r="L25" s="14">
        <v>7950</v>
      </c>
      <c r="M25" s="13"/>
      <c r="N25" s="14">
        <v>8000</v>
      </c>
      <c r="O25" s="13"/>
      <c r="P25" s="14">
        <v>8000</v>
      </c>
      <c r="Q25" s="13"/>
    </row>
    <row r="26" spans="1:17">
      <c r="A26" s="1">
        <v>11</v>
      </c>
      <c r="B26" t="s">
        <v>52</v>
      </c>
      <c r="C26" s="6" t="s">
        <v>43</v>
      </c>
      <c r="D26" s="15">
        <v>7576</v>
      </c>
      <c r="E26" s="6"/>
      <c r="F26" s="15">
        <v>2480</v>
      </c>
      <c r="G26" s="6"/>
      <c r="H26" s="15">
        <v>8000</v>
      </c>
      <c r="I26" s="6"/>
      <c r="J26" s="15">
        <v>4000</v>
      </c>
      <c r="K26" s="6"/>
      <c r="L26" s="14">
        <v>8000</v>
      </c>
      <c r="M26" s="13"/>
      <c r="N26" s="14">
        <v>8000</v>
      </c>
      <c r="O26" s="13"/>
      <c r="P26" s="14">
        <v>8000</v>
      </c>
      <c r="Q26" s="13"/>
    </row>
    <row r="27" spans="1:17">
      <c r="A27" s="1">
        <v>21</v>
      </c>
      <c r="B27" t="s">
        <v>51</v>
      </c>
      <c r="C27" s="6" t="s">
        <v>50</v>
      </c>
      <c r="D27" s="15">
        <v>0</v>
      </c>
      <c r="E27" s="6"/>
      <c r="F27" s="15">
        <v>-3000</v>
      </c>
      <c r="G27" s="6"/>
      <c r="H27" s="15">
        <v>0</v>
      </c>
      <c r="I27" s="6"/>
      <c r="J27" s="15">
        <v>-2452</v>
      </c>
      <c r="K27" s="6"/>
      <c r="L27" s="14"/>
      <c r="M27" s="13"/>
      <c r="N27" s="14"/>
      <c r="O27" s="13"/>
      <c r="P27" s="14"/>
      <c r="Q27" s="13"/>
    </row>
    <row r="28" spans="1:17">
      <c r="A28" s="1">
        <v>23</v>
      </c>
      <c r="B28" t="s">
        <v>49</v>
      </c>
      <c r="C28" s="6"/>
      <c r="D28" s="15"/>
      <c r="E28" s="6"/>
      <c r="F28" s="15"/>
      <c r="G28" s="6"/>
      <c r="H28" s="15"/>
      <c r="I28" s="6"/>
      <c r="J28" s="15"/>
      <c r="K28" s="6"/>
      <c r="L28" s="14">
        <v>0</v>
      </c>
      <c r="M28" s="13"/>
      <c r="N28" s="14">
        <v>0</v>
      </c>
      <c r="O28" s="13"/>
      <c r="P28" s="14">
        <v>0</v>
      </c>
      <c r="Q28" s="13"/>
    </row>
    <row r="29" spans="1:17">
      <c r="A29" s="1">
        <v>22</v>
      </c>
      <c r="B29" t="s">
        <v>48</v>
      </c>
      <c r="C29" s="6" t="s">
        <v>47</v>
      </c>
      <c r="D29" s="15"/>
      <c r="E29" s="6">
        <f>2792.5+6050</f>
        <v>8842.5</v>
      </c>
      <c r="F29" s="15"/>
      <c r="G29" s="6">
        <v>7533</v>
      </c>
      <c r="H29" s="15"/>
      <c r="I29" s="6">
        <v>9700</v>
      </c>
      <c r="J29" s="15"/>
      <c r="K29" s="6">
        <v>8800</v>
      </c>
      <c r="L29" s="14"/>
      <c r="M29" s="13">
        <v>7171.9</v>
      </c>
      <c r="N29" s="14"/>
      <c r="O29" s="13">
        <f>+M29*1.015</f>
        <v>7279.4784999999993</v>
      </c>
      <c r="P29" s="14"/>
      <c r="Q29" s="13">
        <f>+O29*1.015</f>
        <v>7388.6706774999984</v>
      </c>
    </row>
    <row r="30" spans="1:17">
      <c r="A30" s="1">
        <v>12</v>
      </c>
      <c r="B30" t="s">
        <v>46</v>
      </c>
      <c r="C30" s="6" t="s">
        <v>45</v>
      </c>
      <c r="D30" s="15"/>
      <c r="E30" s="6">
        <v>6621</v>
      </c>
      <c r="F30" s="15"/>
      <c r="G30" s="6">
        <v>1048</v>
      </c>
      <c r="H30" s="15"/>
      <c r="I30" s="6">
        <v>6000</v>
      </c>
      <c r="J30" s="15"/>
      <c r="K30" s="6">
        <v>2500</v>
      </c>
      <c r="L30" s="14"/>
      <c r="M30" s="13">
        <v>4000</v>
      </c>
      <c r="N30" s="14"/>
      <c r="O30" s="13">
        <v>4500</v>
      </c>
      <c r="P30" s="14"/>
      <c r="Q30" s="13">
        <v>4500</v>
      </c>
    </row>
    <row r="31" spans="1:17">
      <c r="A31" s="1">
        <v>15</v>
      </c>
      <c r="B31" t="s">
        <v>44</v>
      </c>
      <c r="C31" s="6" t="s">
        <v>43</v>
      </c>
      <c r="D31" s="15"/>
      <c r="E31" s="6">
        <v>2161</v>
      </c>
      <c r="F31" s="15"/>
      <c r="G31" s="6">
        <v>11275</v>
      </c>
      <c r="H31" s="15"/>
      <c r="I31" s="6">
        <v>3350</v>
      </c>
      <c r="J31" s="15"/>
      <c r="K31" s="6">
        <v>8960</v>
      </c>
      <c r="L31" s="14"/>
      <c r="M31" s="13">
        <v>8579</v>
      </c>
      <c r="N31" s="14"/>
      <c r="O31" s="13">
        <v>4500</v>
      </c>
      <c r="P31" s="14"/>
      <c r="Q31" s="13">
        <v>4500</v>
      </c>
    </row>
    <row r="32" spans="1:17">
      <c r="C32" s="6"/>
      <c r="D32" s="15"/>
      <c r="E32" s="6"/>
      <c r="F32" s="15"/>
      <c r="G32" s="6"/>
      <c r="H32" s="15"/>
      <c r="I32" s="6"/>
      <c r="J32" s="15"/>
      <c r="K32" s="6"/>
      <c r="L32" s="14"/>
      <c r="M32" s="13"/>
      <c r="N32" s="14"/>
      <c r="O32" s="13"/>
      <c r="P32" s="14"/>
      <c r="Q32" s="13"/>
    </row>
    <row r="33" spans="1:17">
      <c r="A33" s="22"/>
      <c r="B33" s="21" t="s">
        <v>42</v>
      </c>
      <c r="C33" s="20"/>
      <c r="D33" s="19">
        <f t="shared" ref="D33:Q33" si="1">SUM(D13:D32)</f>
        <v>180496.5</v>
      </c>
      <c r="E33" s="18">
        <f t="shared" si="1"/>
        <v>179029.73</v>
      </c>
      <c r="F33" s="19">
        <f t="shared" si="1"/>
        <v>157707</v>
      </c>
      <c r="G33" s="18">
        <f t="shared" si="1"/>
        <v>191322</v>
      </c>
      <c r="H33" s="19">
        <f t="shared" si="1"/>
        <v>165642</v>
      </c>
      <c r="I33" s="18">
        <f t="shared" si="1"/>
        <v>178271</v>
      </c>
      <c r="J33" s="19">
        <f t="shared" si="1"/>
        <v>144090</v>
      </c>
      <c r="K33" s="18">
        <f t="shared" si="1"/>
        <v>175855</v>
      </c>
      <c r="L33" s="17">
        <f t="shared" si="1"/>
        <v>168364.78</v>
      </c>
      <c r="M33" s="16">
        <f t="shared" si="1"/>
        <v>175799.47999999998</v>
      </c>
      <c r="N33" s="17">
        <f t="shared" si="1"/>
        <v>168911.73124999998</v>
      </c>
      <c r="O33" s="16">
        <f t="shared" si="1"/>
        <v>174668.78719999996</v>
      </c>
      <c r="P33" s="17">
        <f t="shared" si="1"/>
        <v>164466.86383624998</v>
      </c>
      <c r="Q33" s="16">
        <f t="shared" si="1"/>
        <v>177153.81900799993</v>
      </c>
    </row>
    <row r="34" spans="1:17">
      <c r="A34" s="27"/>
      <c r="B34" s="4"/>
      <c r="C34" s="6"/>
      <c r="D34" s="26"/>
      <c r="E34" s="25"/>
      <c r="F34" s="26"/>
      <c r="G34" s="25"/>
      <c r="H34" s="26"/>
      <c r="I34" s="25"/>
      <c r="J34" s="26"/>
      <c r="K34" s="25"/>
      <c r="L34" s="24"/>
      <c r="M34" s="23"/>
      <c r="N34" s="24"/>
      <c r="O34" s="23"/>
      <c r="P34" s="24"/>
      <c r="Q34" s="23"/>
    </row>
    <row r="35" spans="1:17">
      <c r="A35" s="22"/>
      <c r="B35" s="21" t="s">
        <v>41</v>
      </c>
      <c r="C35" s="20"/>
      <c r="D35" s="19">
        <f t="shared" ref="D35:Q35" si="2">+D11-D33</f>
        <v>-6350.5</v>
      </c>
      <c r="E35" s="18">
        <f t="shared" si="2"/>
        <v>11996.26999999999</v>
      </c>
      <c r="F35" s="19">
        <f t="shared" si="2"/>
        <v>1912</v>
      </c>
      <c r="G35" s="18">
        <f t="shared" si="2"/>
        <v>-5165</v>
      </c>
      <c r="H35" s="19">
        <f t="shared" si="2"/>
        <v>-4787</v>
      </c>
      <c r="I35" s="18">
        <f t="shared" si="2"/>
        <v>5849</v>
      </c>
      <c r="J35" s="19">
        <f t="shared" si="2"/>
        <v>12848</v>
      </c>
      <c r="K35" s="18">
        <f t="shared" si="2"/>
        <v>-2680</v>
      </c>
      <c r="L35" s="17">
        <f t="shared" si="2"/>
        <v>-12829.779999999999</v>
      </c>
      <c r="M35" s="16">
        <f t="shared" si="2"/>
        <v>-124.47999999998137</v>
      </c>
      <c r="N35" s="17">
        <f t="shared" si="2"/>
        <v>-692.47124999997322</v>
      </c>
      <c r="O35" s="16">
        <f t="shared" si="2"/>
        <v>1331.2128000000375</v>
      </c>
      <c r="P35" s="17">
        <f t="shared" si="2"/>
        <v>2283.1361637500231</v>
      </c>
      <c r="Q35" s="16">
        <f t="shared" si="2"/>
        <v>-153.81900799993309</v>
      </c>
    </row>
    <row r="36" spans="1:17">
      <c r="C36" s="6"/>
      <c r="D36" s="15"/>
      <c r="E36" s="6"/>
      <c r="F36" s="15"/>
      <c r="G36" s="6"/>
      <c r="H36" s="15"/>
      <c r="I36" s="6"/>
      <c r="J36" s="15"/>
      <c r="K36" s="6"/>
      <c r="L36" s="14"/>
      <c r="M36" s="13"/>
      <c r="N36" s="14"/>
      <c r="O36" s="13"/>
      <c r="P36" s="14"/>
      <c r="Q36" s="13"/>
    </row>
    <row r="37" spans="1:17" ht="15.75" thickBot="1">
      <c r="B37" s="4" t="s">
        <v>40</v>
      </c>
      <c r="C37" s="5"/>
      <c r="D37" s="5"/>
      <c r="E37" s="11">
        <f>+E35+D35</f>
        <v>5645.7699999999895</v>
      </c>
      <c r="F37" s="12"/>
      <c r="G37" s="11">
        <f>+G35+F35</f>
        <v>-3253</v>
      </c>
      <c r="H37" s="12"/>
      <c r="I37" s="11">
        <f>+I35+H35</f>
        <v>1062</v>
      </c>
      <c r="J37" s="12"/>
      <c r="K37" s="11">
        <f>+K35+J35</f>
        <v>10168</v>
      </c>
      <c r="L37" s="9"/>
      <c r="M37" s="10">
        <f>+M35+L35</f>
        <v>-12954.25999999998</v>
      </c>
      <c r="N37" s="9"/>
      <c r="O37" s="10">
        <f>+O35+N35</f>
        <v>638.74155000006431</v>
      </c>
      <c r="P37" s="9"/>
      <c r="Q37" s="8">
        <f>+Q35+P35</f>
        <v>2129.31715575009</v>
      </c>
    </row>
    <row r="38" spans="1:17" ht="15.75" thickTop="1">
      <c r="C38" s="5"/>
      <c r="D38" s="5"/>
      <c r="E38" s="7"/>
      <c r="F38" s="5"/>
      <c r="G38" s="7"/>
      <c r="H38" s="5"/>
      <c r="I38" s="7"/>
      <c r="J38" s="5"/>
      <c r="K38" s="7"/>
      <c r="L38" s="5"/>
      <c r="M38" s="7"/>
      <c r="N38" s="5"/>
      <c r="O38" s="7"/>
      <c r="P38" s="5"/>
      <c r="Q38" s="5"/>
    </row>
    <row r="39" spans="1:17">
      <c r="B39" s="4"/>
      <c r="C39" s="5"/>
      <c r="D39" s="5"/>
      <c r="E39" s="6"/>
      <c r="F39" s="5"/>
      <c r="G39" s="6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>
      <c r="C40" s="5"/>
      <c r="D40" s="5"/>
      <c r="E40" s="5"/>
      <c r="F40" s="5"/>
      <c r="G40" s="5"/>
    </row>
    <row r="41" spans="1:17">
      <c r="C41" s="5"/>
      <c r="D41" s="5"/>
      <c r="E41" s="5"/>
      <c r="F41" s="5"/>
      <c r="G41" s="5"/>
    </row>
    <row r="42" spans="1:17">
      <c r="B42" s="4" t="s">
        <v>39</v>
      </c>
    </row>
    <row r="43" spans="1:17">
      <c r="B43" t="s">
        <v>38</v>
      </c>
    </row>
    <row r="44" spans="1:17">
      <c r="B44" t="s">
        <v>37</v>
      </c>
      <c r="F44" t="s">
        <v>36</v>
      </c>
    </row>
    <row r="45" spans="1:17">
      <c r="B45" t="s">
        <v>35</v>
      </c>
      <c r="F45" t="s">
        <v>34</v>
      </c>
    </row>
    <row r="46" spans="1:17">
      <c r="B46" t="s">
        <v>33</v>
      </c>
      <c r="F46" t="s">
        <v>32</v>
      </c>
    </row>
    <row r="47" spans="1:17">
      <c r="G47" t="s">
        <v>31</v>
      </c>
    </row>
    <row r="48" spans="1:17">
      <c r="H48" s="3" t="s">
        <v>30</v>
      </c>
    </row>
    <row r="49" spans="2:8">
      <c r="H49" s="3" t="s">
        <v>29</v>
      </c>
    </row>
    <row r="50" spans="2:8">
      <c r="H50" s="3" t="s">
        <v>28</v>
      </c>
    </row>
    <row r="51" spans="2:8">
      <c r="H51" s="3" t="s">
        <v>27</v>
      </c>
    </row>
    <row r="52" spans="2:8">
      <c r="H52" s="3" t="s">
        <v>26</v>
      </c>
    </row>
    <row r="53" spans="2:8">
      <c r="H53" s="3" t="s">
        <v>25</v>
      </c>
    </row>
    <row r="54" spans="2:8">
      <c r="H54" s="3" t="s">
        <v>24</v>
      </c>
    </row>
    <row r="55" spans="2:8">
      <c r="H55" s="3" t="s">
        <v>23</v>
      </c>
    </row>
    <row r="56" spans="2:8">
      <c r="H56" s="3" t="s">
        <v>22</v>
      </c>
    </row>
    <row r="57" spans="2:8">
      <c r="G57" t="s">
        <v>21</v>
      </c>
    </row>
    <row r="58" spans="2:8">
      <c r="H58" s="3" t="s">
        <v>20</v>
      </c>
    </row>
    <row r="59" spans="2:8">
      <c r="H59" s="3" t="s">
        <v>19</v>
      </c>
    </row>
    <row r="60" spans="2:8">
      <c r="H60" s="3" t="s">
        <v>18</v>
      </c>
    </row>
    <row r="61" spans="2:8">
      <c r="B61" t="s">
        <v>17</v>
      </c>
      <c r="F61" t="s">
        <v>16</v>
      </c>
    </row>
    <row r="62" spans="2:8">
      <c r="G62" t="s">
        <v>15</v>
      </c>
    </row>
    <row r="63" spans="2:8">
      <c r="H63" s="3" t="s">
        <v>14</v>
      </c>
    </row>
    <row r="64" spans="2:8">
      <c r="H64" s="3" t="s">
        <v>13</v>
      </c>
    </row>
    <row r="65" spans="2:17">
      <c r="H65" t="s">
        <v>12</v>
      </c>
    </row>
    <row r="66" spans="2:17">
      <c r="H66" s="3" t="s">
        <v>11</v>
      </c>
    </row>
    <row r="67" spans="2:17">
      <c r="H67" s="3" t="s">
        <v>10</v>
      </c>
    </row>
    <row r="68" spans="2:17" ht="15.75" customHeight="1">
      <c r="H68" s="3" t="s">
        <v>9</v>
      </c>
    </row>
    <row r="69" spans="2:17" ht="15.75" customHeight="1">
      <c r="H69" s="3" t="s">
        <v>8</v>
      </c>
    </row>
    <row r="70" spans="2:17">
      <c r="B70" t="s">
        <v>7</v>
      </c>
      <c r="F70" t="s">
        <v>6</v>
      </c>
    </row>
    <row r="71" spans="2:17">
      <c r="H71" s="3" t="s">
        <v>5</v>
      </c>
    </row>
    <row r="72" spans="2:17">
      <c r="H72" s="3" t="s">
        <v>4</v>
      </c>
    </row>
    <row r="73" spans="2:17">
      <c r="H73" s="3" t="s">
        <v>3</v>
      </c>
    </row>
    <row r="74" spans="2:17">
      <c r="H74" s="3" t="s">
        <v>2</v>
      </c>
    </row>
    <row r="75" spans="2:17">
      <c r="H75" s="3" t="s">
        <v>1</v>
      </c>
    </row>
    <row r="76" spans="2:17">
      <c r="H76" s="3" t="s">
        <v>0</v>
      </c>
    </row>
    <row r="79" spans="2:17">
      <c r="Q79" s="2">
        <f>+Q1</f>
        <v>44476</v>
      </c>
    </row>
  </sheetData>
  <mergeCells count="7">
    <mergeCell ref="N3:O3"/>
    <mergeCell ref="P3:Q3"/>
    <mergeCell ref="D3:E3"/>
    <mergeCell ref="F3:G3"/>
    <mergeCell ref="H3:I3"/>
    <mergeCell ref="L3:M3"/>
    <mergeCell ref="J3:K3"/>
  </mergeCells>
  <pageMargins left="0.31496062992125984" right="0.11811023622047245" top="0.35433070866141736" bottom="0.15748031496062992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3"/>
  <sheetViews>
    <sheetView topLeftCell="A71" workbookViewId="0">
      <selection activeCell="A2" sqref="A2"/>
    </sheetView>
  </sheetViews>
  <sheetFormatPr defaultRowHeight="15"/>
  <cols>
    <col min="1" max="1" width="28.5703125" style="101" bestFit="1" customWidth="1"/>
    <col min="2" max="2" width="9.140625" style="101"/>
    <col min="3" max="3" width="37" style="101" bestFit="1" customWidth="1"/>
    <col min="4" max="4" width="37" style="101" customWidth="1"/>
    <col min="5" max="5" width="13.140625" style="101" customWidth="1"/>
    <col min="6" max="7" width="9.140625" style="101"/>
  </cols>
  <sheetData>
    <row r="1" spans="1:8">
      <c r="A1" s="108" t="s">
        <v>458</v>
      </c>
      <c r="B1" s="108" t="s">
        <v>431</v>
      </c>
      <c r="C1" s="108" t="s">
        <v>344</v>
      </c>
      <c r="D1" s="108">
        <v>2024</v>
      </c>
      <c r="E1" s="108">
        <v>2023</v>
      </c>
      <c r="F1" s="108">
        <v>2022</v>
      </c>
      <c r="G1" s="108">
        <v>2021</v>
      </c>
    </row>
    <row r="2" spans="1:8">
      <c r="A2" s="101" t="str">
        <f>VLOOKUP(B2,Vertaaltabel!B:C,2,0)</f>
        <v>Salaris</v>
      </c>
      <c r="B2" s="102">
        <v>40000</v>
      </c>
      <c r="C2" s="103" t="s">
        <v>74</v>
      </c>
      <c r="D2" s="121">
        <f>IFERROR(VLOOKUP(B2,[1]Sheet1!$A$16:$C$101,3,0),0)</f>
        <v>90650.27</v>
      </c>
      <c r="E2" s="104">
        <v>95988.200000001307</v>
      </c>
      <c r="F2" s="104">
        <v>151082.42000000001</v>
      </c>
      <c r="G2" s="104">
        <v>135917.19</v>
      </c>
      <c r="H2" s="68"/>
    </row>
    <row r="3" spans="1:8">
      <c r="A3" s="101" t="str">
        <f>VLOOKUP(B3,Vertaaltabel!B:C,2,0)</f>
        <v>Salaris</v>
      </c>
      <c r="B3" s="102">
        <v>40001</v>
      </c>
      <c r="C3" s="103" t="s">
        <v>346</v>
      </c>
      <c r="D3" s="121">
        <f>IFERROR(VLOOKUP(B3,[1]Sheet1!$A$16:$C$101,3,0),0)</f>
        <v>6226.62</v>
      </c>
      <c r="E3" s="104"/>
      <c r="F3" s="104">
        <v>10665.43</v>
      </c>
      <c r="G3" s="104">
        <v>10898.52</v>
      </c>
      <c r="H3" s="68"/>
    </row>
    <row r="4" spans="1:8">
      <c r="A4" s="101" t="str">
        <f>VLOOKUP(B4,Vertaaltabel!B:C,2,0)</f>
        <v>Salaris</v>
      </c>
      <c r="B4" s="102">
        <v>40002</v>
      </c>
      <c r="C4" s="103" t="s">
        <v>347</v>
      </c>
      <c r="D4" s="121">
        <f>IFERROR(VLOOKUP(B4,[1]Sheet1!$A$16:$C$101,3,0),0)</f>
        <v>6532.7</v>
      </c>
      <c r="E4" s="104">
        <v>36210.160000000396</v>
      </c>
      <c r="F4" s="104">
        <v>26049.4</v>
      </c>
      <c r="G4" s="104">
        <v>26686.71</v>
      </c>
      <c r="H4" s="68"/>
    </row>
    <row r="5" spans="1:8">
      <c r="A5" s="101" t="str">
        <f>VLOOKUP(B5,Vertaaltabel!B:C,2,0)</f>
        <v>Salaris</v>
      </c>
      <c r="B5" s="102">
        <v>40003</v>
      </c>
      <c r="C5" s="103" t="s">
        <v>461</v>
      </c>
      <c r="D5" s="121">
        <f>IFERROR(VLOOKUP(B5,[1]Sheet1!$A$16:$C$101,3,0),0)</f>
        <v>0</v>
      </c>
      <c r="E5" s="104"/>
      <c r="F5" s="104"/>
      <c r="G5" s="104">
        <v>1500</v>
      </c>
      <c r="H5" s="68"/>
    </row>
    <row r="6" spans="1:8">
      <c r="A6" s="101" t="str">
        <f>VLOOKUP(B6,Vertaaltabel!B:C,2,0)</f>
        <v>Salaris</v>
      </c>
      <c r="B6" s="102">
        <v>40004</v>
      </c>
      <c r="C6" s="103" t="s">
        <v>348</v>
      </c>
      <c r="D6" s="121">
        <f>IFERROR(VLOOKUP(B6,[1]Sheet1!$A$16:$C$101,3,0),0)</f>
        <v>2555.13</v>
      </c>
      <c r="E6" s="104">
        <v>19180.540000000099</v>
      </c>
      <c r="F6" s="104">
        <v>13604.4</v>
      </c>
      <c r="G6" s="104">
        <v>16783.740000000002</v>
      </c>
      <c r="H6" s="68"/>
    </row>
    <row r="7" spans="1:8">
      <c r="A7" s="101" t="str">
        <f>VLOOKUP(B7,Vertaaltabel!B:C,2,0)</f>
        <v>Salaris</v>
      </c>
      <c r="B7" s="102">
        <v>40010</v>
      </c>
      <c r="C7" s="103" t="s">
        <v>349</v>
      </c>
      <c r="D7" s="121">
        <f>IFERROR(VLOOKUP(B7,[1]Sheet1!$A$16:$C$101,3,0),0)</f>
        <v>3411.51</v>
      </c>
      <c r="E7" s="104"/>
      <c r="F7" s="104">
        <v>15062.41</v>
      </c>
      <c r="G7" s="104">
        <v>3485.14</v>
      </c>
      <c r="H7" s="68"/>
    </row>
    <row r="8" spans="1:8">
      <c r="A8" s="101" t="str">
        <f>VLOOKUP(B8,Vertaaltabel!B:C,2,0)</f>
        <v>Salaris</v>
      </c>
      <c r="B8" s="102">
        <v>40011</v>
      </c>
      <c r="C8" s="103" t="s">
        <v>350</v>
      </c>
      <c r="D8" s="121">
        <f>IFERROR(VLOOKUP(B8,[1]Sheet1!$A$16:$C$101,3,0),0)</f>
        <v>4735.7700000000004</v>
      </c>
      <c r="E8" s="104">
        <v>644.21</v>
      </c>
      <c r="F8" s="104">
        <v>8217.64</v>
      </c>
      <c r="G8" s="104">
        <v>9658.66</v>
      </c>
      <c r="H8" s="68"/>
    </row>
    <row r="9" spans="1:8">
      <c r="A9" s="101" t="str">
        <f>VLOOKUP(B9,Vertaaltabel!B:C,2,0)</f>
        <v>Salaris</v>
      </c>
      <c r="B9" s="102">
        <v>40012</v>
      </c>
      <c r="C9" s="103" t="s">
        <v>460</v>
      </c>
      <c r="D9" s="121">
        <f>IFERROR(VLOOKUP(B9,[1]Sheet1!$A$16:$C$101,3,0),0)</f>
        <v>450.49</v>
      </c>
      <c r="E9" s="104">
        <v>5308.26</v>
      </c>
      <c r="F9" s="104"/>
      <c r="G9" s="104"/>
      <c r="H9" s="68"/>
    </row>
    <row r="10" spans="1:8">
      <c r="A10" s="101" t="str">
        <f>VLOOKUP(B10,Vertaaltabel!B:C,2,0)</f>
        <v>Salaris</v>
      </c>
      <c r="B10" s="102">
        <v>40015</v>
      </c>
      <c r="C10" s="103" t="s">
        <v>351</v>
      </c>
      <c r="D10" s="121">
        <f>IFERROR(VLOOKUP(B10,[1]Sheet1!$A$16:$C$101,3,0),0)</f>
        <v>1478.66</v>
      </c>
      <c r="E10" s="104">
        <v>5763.93</v>
      </c>
      <c r="F10" s="104">
        <v>4324.96</v>
      </c>
      <c r="G10" s="104">
        <v>4773.2</v>
      </c>
      <c r="H10" s="68"/>
    </row>
    <row r="11" spans="1:8">
      <c r="A11" s="101" t="str">
        <f>VLOOKUP(B11,Vertaaltabel!B:C,2,0)</f>
        <v>Salaris</v>
      </c>
      <c r="B11" s="102">
        <v>40017</v>
      </c>
      <c r="C11" s="103" t="s">
        <v>352</v>
      </c>
      <c r="D11" s="121">
        <f>IFERROR(VLOOKUP(B11,[1]Sheet1!$A$16:$C$101,3,0),0)</f>
        <v>0</v>
      </c>
      <c r="E11" s="104"/>
      <c r="F11" s="104">
        <v>212.5</v>
      </c>
      <c r="G11" s="104"/>
      <c r="H11" s="68"/>
    </row>
    <row r="12" spans="1:8">
      <c r="A12" s="101" t="str">
        <f>VLOOKUP(B12,Vertaaltabel!B:C,2,0)</f>
        <v>Salaris</v>
      </c>
      <c r="B12" s="102">
        <v>40016</v>
      </c>
      <c r="C12" s="103" t="s">
        <v>433</v>
      </c>
      <c r="D12" s="121">
        <f>IFERROR(VLOOKUP(B12,[1]Sheet1!$A$16:$C$101,3,0),0)</f>
        <v>0</v>
      </c>
      <c r="E12" s="104"/>
      <c r="F12" s="104"/>
      <c r="G12" s="104">
        <v>-786.9</v>
      </c>
      <c r="H12" s="68"/>
    </row>
    <row r="13" spans="1:8">
      <c r="A13" s="101" t="str">
        <f>VLOOKUP(B13,Vertaaltabel!B:C,2,0)</f>
        <v>Salaris</v>
      </c>
      <c r="B13" s="102">
        <v>40018</v>
      </c>
      <c r="C13" s="103" t="s">
        <v>353</v>
      </c>
      <c r="D13" s="121">
        <f>IFERROR(VLOOKUP(B13,[1]Sheet1!$A$16:$C$101,3,0),0)</f>
        <v>0</v>
      </c>
      <c r="E13" s="104"/>
      <c r="F13" s="104">
        <v>1959.71</v>
      </c>
      <c r="G13" s="104">
        <v>1839.29</v>
      </c>
      <c r="H13" s="68"/>
    </row>
    <row r="14" spans="1:8">
      <c r="A14" s="101" t="str">
        <f>VLOOKUP(B14,Vertaaltabel!B:C,2,0)</f>
        <v>Salaris</v>
      </c>
      <c r="B14" s="81">
        <v>40019</v>
      </c>
      <c r="C14" s="82" t="s">
        <v>462</v>
      </c>
      <c r="D14" s="121">
        <f>IFERROR(VLOOKUP(B14,[1]Sheet1!$A$16:$C$101,3,0),0)</f>
        <v>0</v>
      </c>
      <c r="E14" s="104">
        <v>3000</v>
      </c>
      <c r="F14" s="104"/>
      <c r="G14" s="104"/>
      <c r="H14" s="68"/>
    </row>
    <row r="15" spans="1:8">
      <c r="A15" s="101" t="str">
        <f>VLOOKUP(B15,Vertaaltabel!B:C,2,0)</f>
        <v>Salaris</v>
      </c>
      <c r="B15" s="102">
        <v>40021</v>
      </c>
      <c r="C15" s="103" t="s">
        <v>354</v>
      </c>
      <c r="D15" s="121">
        <f>IFERROR(VLOOKUP(B15,[1]Sheet1!$A$16:$C$101,3,0),0)</f>
        <v>0</v>
      </c>
      <c r="E15" s="104"/>
      <c r="F15" s="104">
        <v>1156.2</v>
      </c>
      <c r="G15" s="104">
        <v>1449.68</v>
      </c>
      <c r="H15" s="68"/>
    </row>
    <row r="16" spans="1:8">
      <c r="A16" s="101" t="str">
        <f>VLOOKUP(B16,Vertaaltabel!B:C,2,0)</f>
        <v>Salaris</v>
      </c>
      <c r="B16" s="102">
        <v>40030</v>
      </c>
      <c r="C16" s="103" t="s">
        <v>355</v>
      </c>
      <c r="D16" s="121">
        <f>IFERROR(VLOOKUP(B16,[1]Sheet1!$A$16:$C$101,3,0),0)</f>
        <v>1806.82</v>
      </c>
      <c r="E16" s="104"/>
      <c r="F16" s="104">
        <v>2595.36</v>
      </c>
      <c r="G16" s="104">
        <v>345.83</v>
      </c>
      <c r="H16" s="68"/>
    </row>
    <row r="17" spans="1:8">
      <c r="A17" s="101" t="str">
        <f>VLOOKUP(B17,Vertaaltabel!B:C,2,0)</f>
        <v>Salaris</v>
      </c>
      <c r="B17" s="102">
        <v>40040</v>
      </c>
      <c r="C17" s="103" t="s">
        <v>434</v>
      </c>
      <c r="D17" s="121">
        <f>IFERROR(VLOOKUP(B17,[1]Sheet1!$A$16:$C$101,3,0),0)</f>
        <v>0</v>
      </c>
      <c r="E17" s="104"/>
      <c r="F17" s="104">
        <v>-12000</v>
      </c>
      <c r="G17" s="104">
        <v>6000</v>
      </c>
      <c r="H17" s="68"/>
    </row>
    <row r="18" spans="1:8">
      <c r="A18" s="101" t="str">
        <f>VLOOKUP(B18,Vertaaltabel!B:C,2,0)</f>
        <v>Huur bondsbureau</v>
      </c>
      <c r="B18" s="102">
        <v>40100</v>
      </c>
      <c r="C18" s="103" t="s">
        <v>356</v>
      </c>
      <c r="D18" s="121">
        <f>IFERROR(VLOOKUP(B18,[1]Sheet1!$A$16:$C$101,3,0),0)</f>
        <v>0</v>
      </c>
      <c r="E18" s="104">
        <v>9250</v>
      </c>
      <c r="F18" s="104">
        <v>7498</v>
      </c>
      <c r="G18" s="104">
        <v>7309</v>
      </c>
      <c r="H18" s="68"/>
    </row>
    <row r="19" spans="1:8">
      <c r="A19" s="101" t="str">
        <f>VLOOKUP(B19,Vertaaltabel!B:C,2,0)</f>
        <v>afschrijvingen</v>
      </c>
      <c r="B19" s="102">
        <v>40205</v>
      </c>
      <c r="C19" s="103" t="s">
        <v>435</v>
      </c>
      <c r="D19" s="121">
        <f>IFERROR(VLOOKUP(B19,[1]Sheet1!$A$16:$C$101,3,0),0)</f>
        <v>0</v>
      </c>
      <c r="E19" s="104"/>
      <c r="F19" s="104">
        <v>651</v>
      </c>
      <c r="G19" s="104">
        <v>651.13</v>
      </c>
      <c r="H19" s="68"/>
    </row>
    <row r="20" spans="1:8">
      <c r="A20" s="101" t="str">
        <f>VLOOKUP(B20,Vertaaltabel!B:C,2,0)</f>
        <v>Kantoorkosten (algemeen)</v>
      </c>
      <c r="B20" s="102">
        <v>40207</v>
      </c>
      <c r="C20" s="103" t="s">
        <v>357</v>
      </c>
      <c r="D20" s="121">
        <f>IFERROR(VLOOKUP(B20,[1]Sheet1!$A$16:$C$101,3,0),0)</f>
        <v>0</v>
      </c>
      <c r="E20" s="104">
        <v>365</v>
      </c>
      <c r="F20" s="104">
        <v>1346.72</v>
      </c>
      <c r="G20" s="104">
        <v>228.29</v>
      </c>
      <c r="H20" s="68"/>
    </row>
    <row r="21" spans="1:8">
      <c r="A21" s="101" t="str">
        <f>VLOOKUP(B21,Vertaaltabel!B:C,2,0)</f>
        <v>Kantoorkosten (algemeen)</v>
      </c>
      <c r="B21" s="102">
        <v>40220</v>
      </c>
      <c r="C21" s="103" t="s">
        <v>436</v>
      </c>
      <c r="D21" s="121">
        <f>IFERROR(VLOOKUP(B21,[1]Sheet1!$A$16:$C$101,3,0),0)</f>
        <v>0</v>
      </c>
      <c r="E21" s="104"/>
      <c r="F21" s="104"/>
      <c r="G21" s="104">
        <v>28.89</v>
      </c>
      <c r="H21" s="68"/>
    </row>
    <row r="22" spans="1:8">
      <c r="A22" s="101" t="str">
        <f>VLOOKUP(B22,Vertaaltabel!B:C,2,0)</f>
        <v>Kantoorkosten (algemeen)</v>
      </c>
      <c r="B22" s="102">
        <v>40221</v>
      </c>
      <c r="C22" s="103" t="s">
        <v>437</v>
      </c>
      <c r="D22" s="121">
        <f>IFERROR(VLOOKUP(B22,[1]Sheet1!$A$16:$C$101,3,0),0)</f>
        <v>440</v>
      </c>
      <c r="E22" s="104"/>
      <c r="F22" s="104"/>
      <c r="G22" s="104">
        <v>157.30000000000001</v>
      </c>
      <c r="H22" s="68"/>
    </row>
    <row r="23" spans="1:8">
      <c r="A23" s="101" t="str">
        <f>VLOOKUP(B23,Vertaaltabel!B:C,2,0)</f>
        <v>Kantoorkosten (algemeen)</v>
      </c>
      <c r="B23" s="102">
        <v>40222</v>
      </c>
      <c r="C23" s="103" t="s">
        <v>438</v>
      </c>
      <c r="D23" s="121">
        <f>IFERROR(VLOOKUP(B23,[1]Sheet1!$A$16:$C$101,3,0),0)</f>
        <v>9104.82</v>
      </c>
      <c r="E23" s="104">
        <v>17034.810000000001</v>
      </c>
      <c r="F23" s="104">
        <v>10985.37</v>
      </c>
      <c r="G23" s="104">
        <v>10996.79</v>
      </c>
      <c r="H23" s="68"/>
    </row>
    <row r="24" spans="1:8">
      <c r="A24" s="101" t="str">
        <f>VLOOKUP(B24,Vertaaltabel!B:C,2,0)</f>
        <v>Kantoorkosten (topsport)</v>
      </c>
      <c r="B24" s="102">
        <v>40224</v>
      </c>
      <c r="C24" s="103" t="s">
        <v>358</v>
      </c>
      <c r="D24" s="121">
        <f>IFERROR(VLOOKUP(B24,[1]Sheet1!$A$16:$C$101,3,0),0)</f>
        <v>8100</v>
      </c>
      <c r="E24" s="104">
        <v>7500</v>
      </c>
      <c r="F24" s="104">
        <v>9400</v>
      </c>
      <c r="G24" s="104">
        <v>6050</v>
      </c>
      <c r="H24" s="68"/>
    </row>
    <row r="25" spans="1:8">
      <c r="A25" s="101" t="str">
        <f>VLOOKUP(B25,Vertaaltabel!B:C,2,0)</f>
        <v>Kantoorkosten (algemeen)</v>
      </c>
      <c r="B25" s="102">
        <v>40225</v>
      </c>
      <c r="C25" s="103" t="s">
        <v>359</v>
      </c>
      <c r="D25" s="121">
        <f>IFERROR(VLOOKUP(B25,[1]Sheet1!$A$16:$C$101,3,0),0)</f>
        <v>981.24</v>
      </c>
      <c r="E25" s="104">
        <v>560.85</v>
      </c>
      <c r="F25" s="104">
        <v>641.59</v>
      </c>
      <c r="G25" s="104">
        <v>884.64</v>
      </c>
      <c r="H25" s="68"/>
    </row>
    <row r="26" spans="1:8">
      <c r="A26" s="101" t="str">
        <f>VLOOKUP(B26,Vertaaltabel!B:C,2,0)</f>
        <v>Kantoorkosten (algemeen)</v>
      </c>
      <c r="B26" s="102">
        <v>40226</v>
      </c>
      <c r="C26" s="103" t="s">
        <v>360</v>
      </c>
      <c r="D26" s="121">
        <f>IFERROR(VLOOKUP(B26,[1]Sheet1!$A$16:$C$101,3,0),0)</f>
        <v>963.39</v>
      </c>
      <c r="E26" s="104">
        <v>0</v>
      </c>
      <c r="F26" s="104">
        <v>10325.85</v>
      </c>
      <c r="G26" s="104">
        <v>4056.36</v>
      </c>
      <c r="H26" s="68"/>
    </row>
    <row r="27" spans="1:8">
      <c r="A27" s="101" t="str">
        <f>VLOOKUP(B27,Vertaaltabel!B:C,2,0)</f>
        <v>Kantoorkosten (algemeen)</v>
      </c>
      <c r="B27" s="102">
        <v>40227</v>
      </c>
      <c r="C27" s="103" t="s">
        <v>361</v>
      </c>
      <c r="D27" s="121">
        <f>IFERROR(VLOOKUP(B27,[1]Sheet1!$A$16:$C$101,3,0),0)</f>
        <v>1545.26</v>
      </c>
      <c r="E27" s="104">
        <v>3499.13</v>
      </c>
      <c r="F27" s="104">
        <v>2838.24</v>
      </c>
      <c r="G27" s="104">
        <v>2106.35</v>
      </c>
      <c r="H27" s="68"/>
    </row>
    <row r="28" spans="1:8">
      <c r="A28" s="101" t="str">
        <f>VLOOKUP(B28,Vertaaltabel!B:C,2,0)</f>
        <v>Kantoorkosten (algemeen)</v>
      </c>
      <c r="B28" s="102">
        <v>40228</v>
      </c>
      <c r="C28" s="103" t="s">
        <v>362</v>
      </c>
      <c r="D28" s="121">
        <f>IFERROR(VLOOKUP(B28,[1]Sheet1!$A$16:$C$101,3,0),0)</f>
        <v>710.86</v>
      </c>
      <c r="E28" s="104">
        <v>659.87</v>
      </c>
      <c r="F28" s="104">
        <v>690.81</v>
      </c>
      <c r="G28" s="104">
        <v>600.38</v>
      </c>
      <c r="H28" s="68"/>
    </row>
    <row r="29" spans="1:8">
      <c r="A29" s="101" t="str">
        <f>VLOOKUP(B29,Vertaaltabel!B:C,2,0)</f>
        <v>Kantoorkosten (algemeen)</v>
      </c>
      <c r="B29" s="102">
        <v>40229</v>
      </c>
      <c r="C29" s="103" t="s">
        <v>363</v>
      </c>
      <c r="D29" s="121">
        <f>IFERROR(VLOOKUP(B29,[1]Sheet1!$A$16:$C$101,3,0),0)</f>
        <v>920.45</v>
      </c>
      <c r="E29" s="104">
        <v>1580.93</v>
      </c>
      <c r="F29" s="104">
        <v>1771.46</v>
      </c>
      <c r="G29" s="104">
        <v>1791.65</v>
      </c>
      <c r="H29" s="68"/>
    </row>
    <row r="30" spans="1:8">
      <c r="A30" s="101" t="str">
        <f>VLOOKUP(B30,Vertaaltabel!B:C,2,0)</f>
        <v>Kantoorkosten (algemeen)</v>
      </c>
      <c r="B30" s="102">
        <v>40230</v>
      </c>
      <c r="C30" s="103" t="s">
        <v>364</v>
      </c>
      <c r="D30" s="121">
        <f>IFERROR(VLOOKUP(B30,[1]Sheet1!$A$16:$C$101,3,0),0)</f>
        <v>0</v>
      </c>
      <c r="E30" s="104">
        <v>0</v>
      </c>
      <c r="F30" s="104">
        <v>52.55</v>
      </c>
      <c r="G30" s="104">
        <v>39.5</v>
      </c>
      <c r="H30" s="68"/>
    </row>
    <row r="31" spans="1:8">
      <c r="A31" s="101" t="str">
        <f>VLOOKUP(B31,Vertaaltabel!B:C,2,0)</f>
        <v>Kantoorkosten (algemeen)</v>
      </c>
      <c r="B31" s="102">
        <v>40233</v>
      </c>
      <c r="C31" s="103" t="s">
        <v>365</v>
      </c>
      <c r="D31" s="121">
        <f>IFERROR(VLOOKUP(B31,[1]Sheet1!$A$16:$C$101,3,0),0)</f>
        <v>0.03</v>
      </c>
      <c r="E31" s="104">
        <v>33.590000000000003</v>
      </c>
      <c r="F31" s="104">
        <v>-5254.29</v>
      </c>
      <c r="G31" s="104">
        <v>-2.0599999999999898</v>
      </c>
      <c r="H31" s="68"/>
    </row>
    <row r="32" spans="1:8">
      <c r="A32" s="101" t="str">
        <f>VLOOKUP(B32,Vertaaltabel!B:C,2,0)</f>
        <v>Kantoorkosten (algemeen)</v>
      </c>
      <c r="B32" s="102">
        <v>40235</v>
      </c>
      <c r="C32" s="103" t="s">
        <v>366</v>
      </c>
      <c r="D32" s="121">
        <f>IFERROR(VLOOKUP(B32,[1]Sheet1!$A$16:$C$101,3,0),0)</f>
        <v>0</v>
      </c>
      <c r="E32" s="104">
        <v>170</v>
      </c>
      <c r="F32" s="104">
        <v>120</v>
      </c>
      <c r="G32" s="104">
        <v>120</v>
      </c>
      <c r="H32" s="68"/>
    </row>
    <row r="33" spans="1:8">
      <c r="A33" s="101" t="str">
        <f>VLOOKUP(B33,Vertaaltabel!B:C,2,0)</f>
        <v>Kantoorkosten (algemeen)</v>
      </c>
      <c r="B33" s="102">
        <v>40250</v>
      </c>
      <c r="C33" s="103" t="s">
        <v>367</v>
      </c>
      <c r="D33" s="121">
        <f>IFERROR(VLOOKUP(B33,[1]Sheet1!$A$16:$C$101,3,0),0)</f>
        <v>1203.2</v>
      </c>
      <c r="E33" s="104">
        <v>1522.93</v>
      </c>
      <c r="F33" s="104">
        <v>1199.48</v>
      </c>
      <c r="G33" s="104">
        <v>0</v>
      </c>
      <c r="H33" s="68"/>
    </row>
    <row r="34" spans="1:8">
      <c r="A34" s="101" t="str">
        <f>VLOOKUP(B34,Vertaaltabel!B:C,2,0)</f>
        <v>Promotie</v>
      </c>
      <c r="B34" s="102">
        <v>40302</v>
      </c>
      <c r="C34" s="103" t="s">
        <v>368</v>
      </c>
      <c r="D34" s="121">
        <f>IFERROR(VLOOKUP(B34,[1]Sheet1!$A$16:$C$101,3,0),0)</f>
        <v>0</v>
      </c>
      <c r="E34" s="104">
        <v>3100.78</v>
      </c>
      <c r="F34" s="104">
        <v>1474.94</v>
      </c>
      <c r="G34" s="104">
        <v>4003.7</v>
      </c>
      <c r="H34" s="68"/>
    </row>
    <row r="35" spans="1:8">
      <c r="A35" s="101" t="str">
        <f>VLOOKUP(B35,Vertaaltabel!B:C,2,0)</f>
        <v>Internet</v>
      </c>
      <c r="B35" s="102">
        <v>40304</v>
      </c>
      <c r="C35" s="103" t="s">
        <v>369</v>
      </c>
      <c r="D35" s="121">
        <f>IFERROR(VLOOKUP(B35,[1]Sheet1!$A$16:$C$101,3,0),0)</f>
        <v>2197.88</v>
      </c>
      <c r="E35" s="104">
        <v>2325.12</v>
      </c>
      <c r="F35" s="104">
        <v>2856.51</v>
      </c>
      <c r="G35" s="104">
        <v>3340.9</v>
      </c>
      <c r="H35" s="68"/>
    </row>
    <row r="36" spans="1:8">
      <c r="A36" s="101" t="str">
        <f>VLOOKUP(B36,Vertaaltabel!B:C,2,0)</f>
        <v>Bestuur/BR/commissies</v>
      </c>
      <c r="B36" s="102">
        <v>40307</v>
      </c>
      <c r="C36" s="103" t="s">
        <v>370</v>
      </c>
      <c r="D36" s="121">
        <f>IFERROR(VLOOKUP(B36,[1]Sheet1!$A$16:$C$101,3,0),0)</f>
        <v>450</v>
      </c>
      <c r="E36" s="104">
        <v>244.62</v>
      </c>
      <c r="F36" s="104">
        <v>2221.11</v>
      </c>
      <c r="G36" s="104">
        <v>264.85000000000002</v>
      </c>
      <c r="H36" s="68"/>
    </row>
    <row r="37" spans="1:8">
      <c r="A37" s="101" t="str">
        <f>VLOOKUP(B37,Vertaaltabel!B:C,2,0)</f>
        <v>Bestuur/BR/commissies</v>
      </c>
      <c r="B37" s="102">
        <v>41000</v>
      </c>
      <c r="C37" s="103" t="s">
        <v>371</v>
      </c>
      <c r="D37" s="121">
        <f>IFERROR(VLOOKUP(B37,[1]Sheet1!$A$16:$C$101,3,0),0)</f>
        <v>2253.36</v>
      </c>
      <c r="E37" s="104">
        <v>2512.8000000000002</v>
      </c>
      <c r="F37" s="104">
        <v>6032</v>
      </c>
      <c r="G37" s="104">
        <v>2600.6799999999998</v>
      </c>
      <c r="H37" s="68"/>
    </row>
    <row r="38" spans="1:8">
      <c r="A38" s="101" t="str">
        <f>VLOOKUP(B38,Vertaaltabel!B:C,2,0)</f>
        <v>Bestuur/BR/commissies</v>
      </c>
      <c r="B38" s="102">
        <v>41001</v>
      </c>
      <c r="C38" s="103" t="s">
        <v>372</v>
      </c>
      <c r="D38" s="121">
        <f>IFERROR(VLOOKUP(B38,[1]Sheet1!$A$16:$C$101,3,0),0)</f>
        <v>420.95</v>
      </c>
      <c r="E38" s="104">
        <v>221.1</v>
      </c>
      <c r="F38" s="104">
        <v>1235.58</v>
      </c>
      <c r="G38" s="104">
        <v>417.02</v>
      </c>
      <c r="H38" s="68"/>
    </row>
    <row r="39" spans="1:8">
      <c r="A39" s="101" t="str">
        <f>VLOOKUP(B39,Vertaaltabel!B:C,2,0)</f>
        <v>Bestuur/BR/commissies</v>
      </c>
      <c r="B39" s="102">
        <v>42000</v>
      </c>
      <c r="C39" s="103" t="s">
        <v>373</v>
      </c>
      <c r="D39" s="121">
        <f>IFERROR(VLOOKUP(B39,[1]Sheet1!$A$16:$C$101,3,0),0)</f>
        <v>327.74</v>
      </c>
      <c r="E39" s="104">
        <v>621.15</v>
      </c>
      <c r="F39" s="104">
        <v>803.31</v>
      </c>
      <c r="G39" s="104">
        <v>476</v>
      </c>
      <c r="H39" s="68"/>
    </row>
    <row r="40" spans="1:8">
      <c r="A40" s="101" t="str">
        <f>VLOOKUP(B40,Vertaaltabel!B:C,2,0)</f>
        <v>Contributie leden</v>
      </c>
      <c r="B40" s="102">
        <v>50000</v>
      </c>
      <c r="C40" s="103" t="s">
        <v>80</v>
      </c>
      <c r="D40" s="121">
        <f>IFERROR(VLOOKUP(B40,[1]Sheet1!$A$16:$C$101,3,0),0)</f>
        <v>-50760.12</v>
      </c>
      <c r="E40" s="104">
        <v>-43361.5</v>
      </c>
      <c r="F40" s="104">
        <v>-102088.02</v>
      </c>
      <c r="G40" s="104">
        <v>-109168.49</v>
      </c>
      <c r="H40" s="68"/>
    </row>
    <row r="41" spans="1:8">
      <c r="A41" s="101" t="str">
        <f>VLOOKUP(B41,Vertaaltabel!B:C,2,0)</f>
        <v>Contributie leden</v>
      </c>
      <c r="B41" s="102">
        <v>50001</v>
      </c>
      <c r="C41" s="103" t="s">
        <v>439</v>
      </c>
      <c r="D41" s="121">
        <f>IFERROR(VLOOKUP(B41,[1]Sheet1!$A$16:$C$101,3,0),0)</f>
        <v>0</v>
      </c>
      <c r="E41" s="104"/>
      <c r="F41" s="104"/>
      <c r="G41" s="104">
        <v>-1922.75</v>
      </c>
      <c r="H41" s="68"/>
    </row>
    <row r="42" spans="1:8">
      <c r="A42" s="101" t="str">
        <f>VLOOKUP(B42,Vertaaltabel!B:C,2,0)</f>
        <v>Contributie leden</v>
      </c>
      <c r="B42" s="102">
        <v>50002</v>
      </c>
      <c r="C42" s="103" t="s">
        <v>374</v>
      </c>
      <c r="D42" s="121">
        <f>IFERROR(VLOOKUP(B42,[1]Sheet1!$A$16:$C$101,3,0),0)</f>
        <v>-2181.52</v>
      </c>
      <c r="E42" s="104">
        <v>-1770.3</v>
      </c>
      <c r="F42" s="104">
        <v>-1820.76</v>
      </c>
      <c r="G42" s="104">
        <v>-2385.5</v>
      </c>
      <c r="H42" s="68"/>
    </row>
    <row r="43" spans="1:8">
      <c r="A43" s="101" t="str">
        <f>VLOOKUP(B43,Vertaaltabel!B:C,2,0)</f>
        <v>Subsidies NOC/NSF</v>
      </c>
      <c r="B43" s="102">
        <v>51000</v>
      </c>
      <c r="C43" s="103" t="s">
        <v>375</v>
      </c>
      <c r="D43" s="121">
        <f>IFERROR(VLOOKUP(B43,[1]Sheet1!$A$16:$C$101,3,0),0)</f>
        <v>0</v>
      </c>
      <c r="E43" s="104"/>
      <c r="F43" s="104">
        <v>-55220</v>
      </c>
      <c r="G43" s="104">
        <v>-39627</v>
      </c>
      <c r="H43" s="68"/>
    </row>
    <row r="44" spans="1:8">
      <c r="A44" s="101" t="str">
        <f>VLOOKUP(B44,Vertaaltabel!B:C,2,0)</f>
        <v>Kantoorkosten (algemeen)</v>
      </c>
      <c r="B44" s="102">
        <v>52000</v>
      </c>
      <c r="C44" s="103" t="s">
        <v>376</v>
      </c>
      <c r="D44" s="121">
        <f>IFERROR(VLOOKUP(B44,[1]Sheet1!$A$16:$C$101,3,0),0)</f>
        <v>-1001.87</v>
      </c>
      <c r="E44" s="104">
        <v>-471.46</v>
      </c>
      <c r="F44" s="104">
        <v>563.42999999999995</v>
      </c>
      <c r="G44" s="104">
        <v>23.78</v>
      </c>
      <c r="H44" s="68"/>
    </row>
    <row r="45" spans="1:8">
      <c r="A45" s="101" t="str">
        <f>VLOOKUP(B45,Vertaaltabel!B:C,2,0)</f>
        <v>Kantoorkosten (algemeen)</v>
      </c>
      <c r="B45" s="102">
        <v>59000</v>
      </c>
      <c r="C45" s="103" t="s">
        <v>377</v>
      </c>
      <c r="D45" s="121">
        <f>IFERROR(VLOOKUP(B45,[1]Sheet1!$A$16:$C$101,3,0),0)</f>
        <v>0</v>
      </c>
      <c r="E45" s="104"/>
      <c r="F45" s="104">
        <v>-152.51</v>
      </c>
      <c r="G45" s="104">
        <v>-145.9</v>
      </c>
      <c r="H45" s="68"/>
    </row>
    <row r="46" spans="1:8">
      <c r="A46" s="101" t="str">
        <f>VLOOKUP(B46,Vertaaltabel!B:C,2,0)</f>
        <v>Bestuur/BR/commissies</v>
      </c>
      <c r="B46" s="102">
        <v>59001</v>
      </c>
      <c r="C46" s="103" t="s">
        <v>378</v>
      </c>
      <c r="D46" s="121">
        <f>IFERROR(VLOOKUP(B46,[1]Sheet1!$A$16:$C$101,3,0),0)</f>
        <v>0</v>
      </c>
      <c r="E46" s="104"/>
      <c r="F46" s="104">
        <v>-125</v>
      </c>
      <c r="G46" s="104">
        <v>-125</v>
      </c>
      <c r="H46" s="68"/>
    </row>
    <row r="47" spans="1:8">
      <c r="A47" s="101" t="str">
        <f>VLOOKUP(B47,Vertaaltabel!B:C,2,0)</f>
        <v>Nationale wedst. Senioren</v>
      </c>
      <c r="B47" s="102">
        <v>60101</v>
      </c>
      <c r="C47" s="103" t="s">
        <v>440</v>
      </c>
      <c r="D47" s="121">
        <f>IFERROR(VLOOKUP(B47,[1]Sheet1!$A$16:$C$101,3,0),0)</f>
        <v>817.61</v>
      </c>
      <c r="E47" s="104">
        <v>10213.06</v>
      </c>
      <c r="F47" s="104">
        <v>37305.18</v>
      </c>
      <c r="G47" s="104">
        <v>8006.54</v>
      </c>
      <c r="H47" s="68"/>
    </row>
    <row r="48" spans="1:8">
      <c r="A48" s="101" t="str">
        <f>VLOOKUP(B48,Vertaaltabel!B:C,2,0)</f>
        <v>Nationale wedst. Senioren</v>
      </c>
      <c r="B48" s="102">
        <v>60102</v>
      </c>
      <c r="C48" s="103" t="s">
        <v>379</v>
      </c>
      <c r="D48" s="121">
        <f>IFERROR(VLOOKUP(B48,[1]Sheet1!$A$16:$C$101,3,0),0)</f>
        <v>4132.2299999999996</v>
      </c>
      <c r="E48" s="104">
        <v>4132.2299999999996</v>
      </c>
      <c r="F48" s="104">
        <v>4132.2299999999996</v>
      </c>
      <c r="G48" s="104">
        <v>4497</v>
      </c>
      <c r="H48" s="68"/>
    </row>
    <row r="49" spans="1:8">
      <c r="A49" s="101" t="str">
        <f>VLOOKUP(B49,Vertaaltabel!B:C,2,0)</f>
        <v>Nationale Jeugdwedstrijden</v>
      </c>
      <c r="B49" s="102">
        <v>60103</v>
      </c>
      <c r="C49" s="103" t="s">
        <v>380</v>
      </c>
      <c r="D49" s="121">
        <f>IFERROR(VLOOKUP(B49,[1]Sheet1!$A$16:$C$101,3,0),0)</f>
        <v>1453.51</v>
      </c>
      <c r="E49" s="104">
        <v>1243.18</v>
      </c>
      <c r="F49" s="104">
        <v>1274</v>
      </c>
      <c r="G49" s="104">
        <v>1027</v>
      </c>
      <c r="H49" s="68"/>
    </row>
    <row r="50" spans="1:8">
      <c r="A50" s="101" t="str">
        <f>VLOOKUP(B50,Vertaaltabel!B:C,2,0)</f>
        <v>Nationale Jeugdwedstrijden</v>
      </c>
      <c r="B50" s="102">
        <v>60104</v>
      </c>
      <c r="C50" s="103" t="s">
        <v>381</v>
      </c>
      <c r="D50" s="121">
        <f>IFERROR(VLOOKUP(B50,[1]Sheet1!$A$16:$C$101,3,0),0)</f>
        <v>1427.45</v>
      </c>
      <c r="E50" s="104">
        <v>488.18</v>
      </c>
      <c r="F50" s="104">
        <v>861.82</v>
      </c>
      <c r="G50" s="104">
        <v>1053.5</v>
      </c>
      <c r="H50" s="68"/>
    </row>
    <row r="51" spans="1:8">
      <c r="A51" s="101" t="str">
        <f>VLOOKUP(B51,Vertaaltabel!B:C,2,0)</f>
        <v>Nationale Jeugdwedstrijden</v>
      </c>
      <c r="B51" s="102">
        <v>60105</v>
      </c>
      <c r="C51" s="103" t="s">
        <v>382</v>
      </c>
      <c r="D51" s="121">
        <f>IFERROR(VLOOKUP(B51,[1]Sheet1!$A$16:$C$101,3,0),0)</f>
        <v>768.78</v>
      </c>
      <c r="E51" s="104">
        <v>1123.3900000000001</v>
      </c>
      <c r="F51" s="104">
        <v>1324.22</v>
      </c>
      <c r="G51" s="104">
        <v>1003.95</v>
      </c>
      <c r="H51" s="68"/>
    </row>
    <row r="52" spans="1:8">
      <c r="A52" s="101" t="str">
        <f>VLOOKUP(B52,Vertaaltabel!B:C,2,0)</f>
        <v>Nationale Jeugdwedstrijden</v>
      </c>
      <c r="B52" s="102">
        <v>60106</v>
      </c>
      <c r="C52" s="103" t="s">
        <v>383</v>
      </c>
      <c r="D52" s="121">
        <f>IFERROR(VLOOKUP(B52,[1]Sheet1!$A$16:$C$101,3,0),0)</f>
        <v>363.09</v>
      </c>
      <c r="E52" s="104">
        <v>-73.55</v>
      </c>
      <c r="F52" s="104">
        <v>261.82</v>
      </c>
      <c r="G52" s="104">
        <v>108.5</v>
      </c>
      <c r="H52" s="68"/>
    </row>
    <row r="53" spans="1:8">
      <c r="A53" s="101" t="str">
        <f>VLOOKUP(B53,Vertaaltabel!B:C,2,0)</f>
        <v>Nationale wedst. Senioren</v>
      </c>
      <c r="B53" s="102">
        <v>60107</v>
      </c>
      <c r="C53" s="103" t="s">
        <v>384</v>
      </c>
      <c r="D53" s="121">
        <f>IFERROR(VLOOKUP(B53,[1]Sheet1!$A$16:$C$101,3,0),0)</f>
        <v>1492.97</v>
      </c>
      <c r="E53" s="104">
        <v>387.9</v>
      </c>
      <c r="F53" s="104">
        <v>868.25</v>
      </c>
      <c r="G53" s="104"/>
      <c r="H53" s="68"/>
    </row>
    <row r="54" spans="1:8">
      <c r="A54" s="101" t="str">
        <f>VLOOKUP(B54,Vertaaltabel!B:C,2,0)</f>
        <v>Nationale wedst. Senioren</v>
      </c>
      <c r="B54" s="102">
        <v>60109</v>
      </c>
      <c r="C54" s="103" t="s">
        <v>385</v>
      </c>
      <c r="D54" s="121">
        <f>IFERROR(VLOOKUP(B54,[1]Sheet1!$A$16:$C$101,3,0),0)</f>
        <v>0</v>
      </c>
      <c r="E54" s="104">
        <v>635</v>
      </c>
      <c r="F54" s="104">
        <v>340</v>
      </c>
      <c r="G54" s="104">
        <v>151.6</v>
      </c>
      <c r="H54" s="68"/>
    </row>
    <row r="55" spans="1:8">
      <c r="A55" s="101" t="str">
        <f>VLOOKUP(B55,Vertaaltabel!B:C,2,0)</f>
        <v>Opbrengsten NC</v>
      </c>
      <c r="B55" s="102">
        <v>60201</v>
      </c>
      <c r="C55" s="103" t="s">
        <v>386</v>
      </c>
      <c r="D55" s="121">
        <f>IFERROR(VLOOKUP(B55,[1]Sheet1!$A$16:$C$101,3,0),0)</f>
        <v>-661.22</v>
      </c>
      <c r="E55" s="104">
        <v>6047.58</v>
      </c>
      <c r="F55" s="104">
        <v>4235.25</v>
      </c>
      <c r="G55" s="104">
        <v>-106.75</v>
      </c>
      <c r="H55" s="68"/>
    </row>
    <row r="56" spans="1:8">
      <c r="A56" s="101" t="str">
        <f>VLOOKUP(B56,Vertaaltabel!B:C,2,0)</f>
        <v>Nationale wedst. Senioren</v>
      </c>
      <c r="B56" s="102">
        <v>60202</v>
      </c>
      <c r="C56" s="103" t="s">
        <v>387</v>
      </c>
      <c r="D56" s="121">
        <f>IFERROR(VLOOKUP(B56,[1]Sheet1!$A$16:$C$101,3,0),0)</f>
        <v>806.36</v>
      </c>
      <c r="E56" s="104">
        <v>348.46</v>
      </c>
      <c r="F56" s="104">
        <v>258.36</v>
      </c>
      <c r="G56" s="104"/>
      <c r="H56" s="68"/>
    </row>
    <row r="57" spans="1:8">
      <c r="A57" s="101" t="str">
        <f>VLOOKUP(B57,Vertaaltabel!B:C,2,0)</f>
        <v>Nationale Jeugdwedstrijden</v>
      </c>
      <c r="B57" s="102">
        <v>60301</v>
      </c>
      <c r="C57" s="103" t="s">
        <v>388</v>
      </c>
      <c r="D57" s="121">
        <f>IFERROR(VLOOKUP(B57,[1]Sheet1!$A$16:$C$101,3,0),0)</f>
        <v>47.52</v>
      </c>
      <c r="E57" s="104">
        <v>921.43</v>
      </c>
      <c r="F57" s="104">
        <v>940.61</v>
      </c>
      <c r="G57" s="104">
        <v>64.5</v>
      </c>
      <c r="H57" s="68"/>
    </row>
    <row r="58" spans="1:8">
      <c r="A58" s="101" t="str">
        <f>VLOOKUP(B58,Vertaaltabel!B:C,2,0)</f>
        <v>Nationale Jeugdwedstrijden</v>
      </c>
      <c r="B58" s="102">
        <v>60302</v>
      </c>
      <c r="C58" s="103" t="s">
        <v>389</v>
      </c>
      <c r="D58" s="121">
        <f>IFERROR(VLOOKUP(B58,[1]Sheet1!$A$16:$C$101,3,0),0)</f>
        <v>521.74</v>
      </c>
      <c r="E58" s="104">
        <v>544.63</v>
      </c>
      <c r="F58" s="104">
        <v>539</v>
      </c>
      <c r="G58" s="104">
        <v>849.5</v>
      </c>
      <c r="H58" s="68"/>
    </row>
    <row r="59" spans="1:8">
      <c r="A59" s="101" t="str">
        <f>VLOOKUP(B59,Vertaaltabel!B:C,2,0)</f>
        <v>Nationale Jeugdwedstrijden</v>
      </c>
      <c r="B59" s="102">
        <v>60303</v>
      </c>
      <c r="C59" s="103" t="s">
        <v>390</v>
      </c>
      <c r="D59" s="121">
        <f>IFERROR(VLOOKUP(B59,[1]Sheet1!$A$16:$C$101,3,0),0)</f>
        <v>612.99</v>
      </c>
      <c r="E59" s="104">
        <v>57.02</v>
      </c>
      <c r="F59" s="104">
        <v>244.63</v>
      </c>
      <c r="G59" s="104">
        <v>454.5</v>
      </c>
      <c r="H59" s="68"/>
    </row>
    <row r="60" spans="1:8">
      <c r="A60" s="101" t="str">
        <f>VLOOKUP(B60,Vertaaltabel!B:C,2,0)</f>
        <v>Nationale Jeugdwedstrijden</v>
      </c>
      <c r="B60" s="102">
        <v>60304</v>
      </c>
      <c r="C60" s="103" t="s">
        <v>391</v>
      </c>
      <c r="D60" s="121">
        <f>IFERROR(VLOOKUP(B60,[1]Sheet1!$A$16:$C$101,3,0),0)</f>
        <v>37.19</v>
      </c>
      <c r="E60" s="104">
        <v>32.229999999999997</v>
      </c>
      <c r="F60" s="104">
        <v>22.73</v>
      </c>
      <c r="G60" s="104">
        <v>17.5</v>
      </c>
      <c r="H60" s="68"/>
    </row>
    <row r="61" spans="1:8">
      <c r="A61" s="101" t="str">
        <f>VLOOKUP(B61,Vertaaltabel!B:C,2,0)</f>
        <v>Nationale wedst. Senioren</v>
      </c>
      <c r="B61" s="102">
        <v>60401</v>
      </c>
      <c r="C61" s="103" t="s">
        <v>392</v>
      </c>
      <c r="D61" s="121">
        <f>IFERROR(VLOOKUP(B61,[1]Sheet1!$A$16:$C$101,3,0),0)</f>
        <v>537.5</v>
      </c>
      <c r="E61" s="104">
        <v>1725.08</v>
      </c>
      <c r="F61" s="104">
        <v>1798.38</v>
      </c>
      <c r="G61" s="104"/>
      <c r="H61" s="68"/>
    </row>
    <row r="62" spans="1:8">
      <c r="A62" s="101" t="str">
        <f>VLOOKUP(B62,Vertaaltabel!B:C,2,0)</f>
        <v>Nationale Jeugdwedstrijden</v>
      </c>
      <c r="B62" s="102">
        <v>60403</v>
      </c>
      <c r="C62" s="103" t="s">
        <v>393</v>
      </c>
      <c r="D62" s="121">
        <f>IFERROR(VLOOKUP(B62,[1]Sheet1!$A$16:$C$101,3,0),0)</f>
        <v>0</v>
      </c>
      <c r="E62" s="104">
        <v>53.31</v>
      </c>
      <c r="F62" s="104">
        <v>63.5</v>
      </c>
      <c r="G62" s="104"/>
      <c r="H62" s="68"/>
    </row>
    <row r="63" spans="1:8">
      <c r="A63" s="101" t="str">
        <f>VLOOKUP(B63,Vertaaltabel!B:C,2,0)</f>
        <v>Nationale Jeugdwedstrijden</v>
      </c>
      <c r="B63" s="102">
        <v>60404</v>
      </c>
      <c r="C63" s="103" t="s">
        <v>394</v>
      </c>
      <c r="D63" s="121">
        <f>IFERROR(VLOOKUP(B63,[1]Sheet1!$A$16:$C$101,3,0),0)</f>
        <v>246.72</v>
      </c>
      <c r="E63" s="104">
        <v>115.29</v>
      </c>
      <c r="F63" s="104">
        <v>45.62</v>
      </c>
      <c r="G63" s="104">
        <v>37.25</v>
      </c>
      <c r="H63" s="68"/>
    </row>
    <row r="64" spans="1:8">
      <c r="A64" s="101" t="str">
        <f>VLOOKUP(B64,Vertaaltabel!B:C,2,0)</f>
        <v>Nationale Jeugdwedstrijden</v>
      </c>
      <c r="B64" s="102">
        <v>60405</v>
      </c>
      <c r="C64" s="103" t="s">
        <v>441</v>
      </c>
      <c r="D64" s="121">
        <f>IFERROR(VLOOKUP(B64,[1]Sheet1!$A$16:$C$101,3,0),0)</f>
        <v>0</v>
      </c>
      <c r="E64" s="104">
        <v>130.16</v>
      </c>
      <c r="F64" s="104"/>
      <c r="G64" s="104">
        <v>37.25</v>
      </c>
      <c r="H64" s="68"/>
    </row>
    <row r="65" spans="1:8">
      <c r="A65" s="101" t="str">
        <f>VLOOKUP(B65,Vertaaltabel!B:C,2,0)</f>
        <v>Salaris</v>
      </c>
      <c r="B65" s="102">
        <v>60601</v>
      </c>
      <c r="C65" s="103" t="s">
        <v>463</v>
      </c>
      <c r="D65" s="121">
        <f>IFERROR(VLOOKUP(B65,[1]Sheet1!$A$16:$C$101,3,0),0)</f>
        <v>0</v>
      </c>
      <c r="E65" s="104">
        <v>0</v>
      </c>
      <c r="F65" s="104">
        <v>221.9</v>
      </c>
      <c r="G65" s="104"/>
      <c r="H65" s="68"/>
    </row>
    <row r="66" spans="1:8">
      <c r="A66" s="101" t="str">
        <f>VLOOKUP(B66,Vertaaltabel!B:C,2,0)</f>
        <v>Schooldammen</v>
      </c>
      <c r="B66" s="102">
        <v>60604</v>
      </c>
      <c r="C66" s="103" t="s">
        <v>395</v>
      </c>
      <c r="D66" s="121">
        <f>IFERROR(VLOOKUP(B66,[1]Sheet1!$A$16:$C$101,3,0),0)</f>
        <v>2425.91</v>
      </c>
      <c r="E66" s="104">
        <v>1656.02</v>
      </c>
      <c r="F66" s="104">
        <v>1998.17</v>
      </c>
      <c r="G66" s="104"/>
      <c r="H66" s="68"/>
    </row>
    <row r="67" spans="1:8">
      <c r="A67" s="101" t="str">
        <f>VLOOKUP(B67,Vertaaltabel!B:C,2,0)</f>
        <v>Nationale wedst. Senioren</v>
      </c>
      <c r="B67" s="102">
        <v>60609</v>
      </c>
      <c r="C67" s="103" t="s">
        <v>396</v>
      </c>
      <c r="D67" s="121">
        <f>IFERROR(VLOOKUP(B67,[1]Sheet1!$A$16:$C$101,3,0),0)</f>
        <v>0</v>
      </c>
      <c r="E67" s="104">
        <v>0</v>
      </c>
      <c r="F67" s="104">
        <v>992</v>
      </c>
      <c r="G67" s="104"/>
      <c r="H67" s="68"/>
    </row>
    <row r="68" spans="1:8">
      <c r="A68" s="101" t="str">
        <f>VLOOKUP(B68,Vertaaltabel!B:C,2,0)</f>
        <v>Het Damspel</v>
      </c>
      <c r="B68" s="102">
        <v>60700</v>
      </c>
      <c r="C68" s="103" t="s">
        <v>397</v>
      </c>
      <c r="D68" s="121">
        <f>IFERROR(VLOOKUP(B68,[1]Sheet1!$A$16:$C$101,3,0),0)</f>
        <v>2959.7</v>
      </c>
      <c r="E68" s="104">
        <v>7802.33</v>
      </c>
      <c r="F68" s="104">
        <v>13004.89</v>
      </c>
      <c r="G68" s="104">
        <v>9218.7999999999993</v>
      </c>
      <c r="H68" s="68"/>
    </row>
    <row r="69" spans="1:8">
      <c r="A69" s="101" t="str">
        <f>VLOOKUP(B69,Vertaaltabel!B:C,2,0)</f>
        <v>Het Damspel</v>
      </c>
      <c r="B69" s="102">
        <v>60701</v>
      </c>
      <c r="C69" s="103" t="s">
        <v>398</v>
      </c>
      <c r="D69" s="121">
        <f>IFERROR(VLOOKUP(B69,[1]Sheet1!$A$16:$C$101,3,0),0)</f>
        <v>6643.19</v>
      </c>
      <c r="E69" s="104">
        <v>0</v>
      </c>
      <c r="F69" s="104">
        <v>1079.76</v>
      </c>
      <c r="G69" s="104">
        <v>4655.8500000000004</v>
      </c>
      <c r="H69" s="68"/>
    </row>
    <row r="70" spans="1:8">
      <c r="A70" s="101" t="str">
        <f>VLOOKUP(B70,Vertaaltabel!B:C,2,0)</f>
        <v>Het Damspel</v>
      </c>
      <c r="B70" s="102">
        <v>60702</v>
      </c>
      <c r="C70" s="103" t="s">
        <v>399</v>
      </c>
      <c r="D70" s="121">
        <f>IFERROR(VLOOKUP(B70,[1]Sheet1!$A$16:$C$101,3,0),0)</f>
        <v>1723.67</v>
      </c>
      <c r="E70" s="104">
        <v>1350</v>
      </c>
      <c r="F70" s="104">
        <v>3030.68</v>
      </c>
      <c r="G70" s="104">
        <v>2925</v>
      </c>
      <c r="H70" s="68"/>
    </row>
    <row r="71" spans="1:8">
      <c r="A71" t="s">
        <v>66</v>
      </c>
      <c r="B71" s="102">
        <v>60800</v>
      </c>
      <c r="C71" s="103" t="s">
        <v>400</v>
      </c>
      <c r="D71" s="121">
        <f>IFERROR(VLOOKUP(B71,[1]Sheet1!$A$16:$C$101,3,0),0)</f>
        <v>0</v>
      </c>
      <c r="E71" s="104">
        <v>0</v>
      </c>
      <c r="F71" s="104">
        <v>2081.35</v>
      </c>
      <c r="G71" s="104"/>
      <c r="H71" s="68"/>
    </row>
    <row r="72" spans="1:8">
      <c r="A72" s="101" t="str">
        <f>VLOOKUP(B72,Vertaaltabel!B:C,2,0)</f>
        <v>Topsport</v>
      </c>
      <c r="B72" s="102">
        <v>61001</v>
      </c>
      <c r="C72" s="103" t="s">
        <v>401</v>
      </c>
      <c r="D72" s="121">
        <f>IFERROR(VLOOKUP(B72,[1]Sheet1!$A$16:$C$101,3,0),0)</f>
        <v>12031.81</v>
      </c>
      <c r="E72" s="104">
        <v>16464.25</v>
      </c>
      <c r="F72" s="104">
        <v>9472.9</v>
      </c>
      <c r="G72" s="104">
        <v>8551.01</v>
      </c>
      <c r="H72" s="68"/>
    </row>
    <row r="73" spans="1:8">
      <c r="A73" s="101" t="str">
        <f>VLOOKUP(B73,Vertaaltabel!B:C,2,0)</f>
        <v>Training CJT,CAT,CPT en CMT</v>
      </c>
      <c r="B73" s="102">
        <v>61101</v>
      </c>
      <c r="C73" s="103" t="s">
        <v>402</v>
      </c>
      <c r="D73" s="121">
        <f>IFERROR(VLOOKUP(B73,[1]Sheet1!$A$16:$C$101,3,0),0)</f>
        <v>120</v>
      </c>
      <c r="E73" s="104">
        <v>465</v>
      </c>
      <c r="F73" s="104">
        <v>380</v>
      </c>
      <c r="G73" s="104">
        <v>120</v>
      </c>
      <c r="H73" s="68"/>
    </row>
    <row r="74" spans="1:8">
      <c r="A74" s="101" t="str">
        <f>VLOOKUP(B74,Vertaaltabel!B:C,2,0)</f>
        <v>Training CJT,CAT,CPT en CMT</v>
      </c>
      <c r="B74" s="102">
        <v>61102</v>
      </c>
      <c r="C74" s="103" t="s">
        <v>403</v>
      </c>
      <c r="D74" s="121">
        <f>IFERROR(VLOOKUP(B74,[1]Sheet1!$A$16:$C$101,3,0),0)</f>
        <v>1140.75</v>
      </c>
      <c r="E74" s="104">
        <v>180</v>
      </c>
      <c r="F74" s="104">
        <v>420</v>
      </c>
      <c r="G74" s="104">
        <v>4675.1099999999997</v>
      </c>
      <c r="H74" s="68"/>
    </row>
    <row r="75" spans="1:8">
      <c r="A75" s="101" t="str">
        <f>VLOOKUP(B75,Vertaaltabel!B:C,2,0)</f>
        <v>Training CJT,CAT,CPT en CMT</v>
      </c>
      <c r="B75" s="102">
        <v>61103</v>
      </c>
      <c r="C75" s="103" t="s">
        <v>404</v>
      </c>
      <c r="D75" s="121">
        <f>IFERROR(VLOOKUP(B75,[1]Sheet1!$A$16:$C$101,3,0),0)</f>
        <v>4048.02</v>
      </c>
      <c r="E75" s="104">
        <v>135</v>
      </c>
      <c r="F75" s="104">
        <v>420</v>
      </c>
      <c r="G75" s="104">
        <v>4675.1000000000004</v>
      </c>
      <c r="H75" s="68"/>
    </row>
    <row r="76" spans="1:8">
      <c r="A76" s="101" t="str">
        <f>VLOOKUP(B76,Vertaaltabel!B:C,2,0)</f>
        <v>Training CJT,CAT,CPT en CMT</v>
      </c>
      <c r="B76" s="102">
        <v>61104</v>
      </c>
      <c r="C76" s="103" t="s">
        <v>405</v>
      </c>
      <c r="D76" s="121">
        <f>IFERROR(VLOOKUP(B76,[1]Sheet1!$A$16:$C$101,3,0),0)</f>
        <v>780</v>
      </c>
      <c r="E76" s="104">
        <v>0</v>
      </c>
      <c r="F76" s="104">
        <v>1558.82</v>
      </c>
      <c r="G76" s="104">
        <v>1500</v>
      </c>
      <c r="H76" s="68"/>
    </row>
    <row r="77" spans="1:8">
      <c r="A77" s="101" t="str">
        <f>VLOOKUP(B77,Vertaaltabel!B:C,2,0)</f>
        <v>Internationale Jeugdwedst</v>
      </c>
      <c r="B77" s="102">
        <v>61109</v>
      </c>
      <c r="C77" s="103" t="s">
        <v>442</v>
      </c>
      <c r="D77" s="121">
        <f>IFERROR(VLOOKUP(B77,[1]Sheet1!$A$16:$C$101,3,0),0)</f>
        <v>2000</v>
      </c>
      <c r="E77" s="104">
        <v>625.79999999999995</v>
      </c>
      <c r="F77" s="104"/>
      <c r="G77" s="104">
        <v>700</v>
      </c>
      <c r="H77" s="68"/>
    </row>
    <row r="78" spans="1:8">
      <c r="A78" s="101" t="str">
        <f>VLOOKUP(B78,Vertaaltabel!B:C,2,0)</f>
        <v>Internationale wedst Senioren</v>
      </c>
      <c r="B78" s="102">
        <v>61201</v>
      </c>
      <c r="C78" s="103" t="s">
        <v>406</v>
      </c>
      <c r="D78" s="121">
        <f>IFERROR(VLOOKUP(B78,[1]Sheet1!$A$16:$C$101,3,0),0)</f>
        <v>14841</v>
      </c>
      <c r="E78" s="104">
        <v>1021.55</v>
      </c>
      <c r="F78" s="104">
        <v>900</v>
      </c>
      <c r="G78" s="104">
        <v>4505.71</v>
      </c>
      <c r="H78" s="68"/>
    </row>
    <row r="79" spans="1:8">
      <c r="A79" s="101" t="str">
        <f>VLOOKUP(B79,Vertaaltabel!B:C,2,0)</f>
        <v>Internationale wedst Senioren</v>
      </c>
      <c r="B79" s="102">
        <v>61202</v>
      </c>
      <c r="C79" s="103" t="s">
        <v>407</v>
      </c>
      <c r="D79" s="121">
        <f>IFERROR(VLOOKUP(B79,[1]Sheet1!$A$16:$C$101,3,0),0)</f>
        <v>2000.48</v>
      </c>
      <c r="E79" s="104"/>
      <c r="F79" s="104">
        <v>512</v>
      </c>
      <c r="G79" s="104">
        <v>1993.14</v>
      </c>
      <c r="H79" s="68"/>
    </row>
    <row r="80" spans="1:8">
      <c r="A80" s="101" t="str">
        <f>VLOOKUP(B80,Vertaaltabel!B:C,2,0)</f>
        <v>Internationale wedst Senioren</v>
      </c>
      <c r="B80" s="102">
        <v>61203</v>
      </c>
      <c r="C80" s="103" t="s">
        <v>408</v>
      </c>
      <c r="D80" s="121">
        <f>IFERROR(VLOOKUP(B80,[1]Sheet1!$A$16:$C$101,3,0),0)</f>
        <v>15196.2</v>
      </c>
      <c r="E80" s="104">
        <v>15787.22</v>
      </c>
      <c r="F80" s="104">
        <v>3500</v>
      </c>
      <c r="G80" s="104">
        <v>5725.31</v>
      </c>
      <c r="H80" s="68"/>
    </row>
    <row r="81" spans="1:8">
      <c r="A81" s="101" t="str">
        <f>VLOOKUP(B81,Vertaaltabel!B:C,2,0)</f>
        <v>Internationale wedst Senioren</v>
      </c>
      <c r="B81" s="81">
        <v>61204</v>
      </c>
      <c r="C81" s="82" t="s">
        <v>464</v>
      </c>
      <c r="D81" s="121">
        <f>IFERROR(VLOOKUP(B81,[1]Sheet1!$A$16:$C$101,3,0),0)</f>
        <v>1485</v>
      </c>
      <c r="E81" s="104">
        <v>1300</v>
      </c>
      <c r="F81" s="104"/>
      <c r="G81" s="104"/>
      <c r="H81" s="68"/>
    </row>
    <row r="82" spans="1:8">
      <c r="A82" s="101" t="str">
        <f>VLOOKUP(B82,Vertaaltabel!B:C,2,0)</f>
        <v>Internationale wedst Senioren</v>
      </c>
      <c r="B82" s="102">
        <v>61205</v>
      </c>
      <c r="C82" s="103" t="s">
        <v>409</v>
      </c>
      <c r="D82" s="121">
        <f>IFERROR(VLOOKUP(B82,[1]Sheet1!$A$16:$C$101,3,0),0)</f>
        <v>1838.47</v>
      </c>
      <c r="E82" s="104"/>
      <c r="F82" s="104">
        <v>8145.43</v>
      </c>
      <c r="G82" s="104"/>
      <c r="H82" s="68"/>
    </row>
    <row r="83" spans="1:8">
      <c r="A83" s="101" t="str">
        <f>VLOOKUP(B83,Vertaaltabel!B:C,2,0)</f>
        <v>Internationale wedst Senioren</v>
      </c>
      <c r="B83" s="102">
        <v>61209</v>
      </c>
      <c r="C83" s="103" t="s">
        <v>443</v>
      </c>
      <c r="D83" s="121">
        <f>IFERROR(VLOOKUP(B83,[1]Sheet1!$A$16:$C$101,3,0),0)</f>
        <v>0</v>
      </c>
      <c r="E83" s="104"/>
      <c r="F83" s="104"/>
      <c r="G83" s="104">
        <v>5371.33</v>
      </c>
      <c r="H83" s="68"/>
    </row>
    <row r="84" spans="1:8">
      <c r="A84" s="101" t="str">
        <f>VLOOKUP(B84,Vertaaltabel!B:C,2,0)</f>
        <v>Internationale Jeugdwedst</v>
      </c>
      <c r="B84" s="102">
        <v>61302</v>
      </c>
      <c r="C84" s="103" t="s">
        <v>444</v>
      </c>
      <c r="D84" s="121">
        <f>IFERROR(VLOOKUP(B84,[1]Sheet1!$A$16:$C$101,3,0),0)</f>
        <v>0</v>
      </c>
      <c r="E84" s="104"/>
      <c r="F84" s="104"/>
      <c r="G84" s="104">
        <v>-320</v>
      </c>
      <c r="H84" s="68"/>
    </row>
    <row r="85" spans="1:8">
      <c r="A85" s="101" t="str">
        <f>VLOOKUP(B85,Vertaaltabel!B:C,2,0)</f>
        <v>Internationale Jeugdwedst</v>
      </c>
      <c r="B85" s="102">
        <v>61301</v>
      </c>
      <c r="C85" s="103" t="s">
        <v>410</v>
      </c>
      <c r="D85" s="121">
        <f>IFERROR(VLOOKUP(B85,[1]Sheet1!$A$16:$C$101,3,0),0)</f>
        <v>38569.86</v>
      </c>
      <c r="E85" s="104">
        <v>35720.519999999997</v>
      </c>
      <c r="F85" s="104">
        <v>33514.35</v>
      </c>
      <c r="G85" s="104"/>
      <c r="H85" s="68"/>
    </row>
    <row r="86" spans="1:8">
      <c r="A86" s="101" t="str">
        <f>VLOOKUP(B86,Vertaaltabel!B:C,2,0)</f>
        <v>Internationale Jeugdwedst</v>
      </c>
      <c r="B86" s="102">
        <v>61305</v>
      </c>
      <c r="C86" s="103" t="s">
        <v>411</v>
      </c>
      <c r="D86" s="121">
        <f>IFERROR(VLOOKUP(B86,[1]Sheet1!$A$16:$C$101,3,0),0)</f>
        <v>12297</v>
      </c>
      <c r="E86" s="104">
        <v>0</v>
      </c>
      <c r="F86" s="104">
        <v>23459.599999999999</v>
      </c>
      <c r="G86" s="104">
        <v>20346.86</v>
      </c>
      <c r="H86" s="68"/>
    </row>
    <row r="87" spans="1:8">
      <c r="A87" s="101" t="str">
        <f>VLOOKUP(B87,Vertaaltabel!B:C,2,0)</f>
        <v>Kantoorkosten (algemeen)</v>
      </c>
      <c r="B87" s="102">
        <v>66000</v>
      </c>
      <c r="C87" s="103" t="s">
        <v>412</v>
      </c>
      <c r="D87" s="121">
        <f>IFERROR(VLOOKUP(B87,[1]Sheet1!$A$16:$C$101,3,0),0)</f>
        <v>4522.1000000000004</v>
      </c>
      <c r="E87" s="104">
        <v>1480</v>
      </c>
      <c r="F87" s="104">
        <v>860</v>
      </c>
      <c r="G87" s="104"/>
      <c r="H87" s="68"/>
    </row>
    <row r="88" spans="1:8">
      <c r="A88" s="101" t="str">
        <f>VLOOKUP(B88,Vertaaltabel!B:C,2,0)</f>
        <v>Topsport</v>
      </c>
      <c r="B88" s="102">
        <v>61401</v>
      </c>
      <c r="C88" s="103" t="s">
        <v>496</v>
      </c>
      <c r="D88" s="121">
        <f>IFERROR(VLOOKUP(B88,[1]Sheet1!$A$16:$C$101,3,0),0)</f>
        <v>0</v>
      </c>
      <c r="E88" s="104">
        <v>5000</v>
      </c>
      <c r="F88" s="104"/>
      <c r="G88" s="104"/>
      <c r="H88" s="68"/>
    </row>
    <row r="89" spans="1:8">
      <c r="A89" s="101" t="str">
        <f>VLOOKUP(B89,Vertaaltabel!B:C,2,0)</f>
        <v>Projecten en VO</v>
      </c>
      <c r="B89" s="102">
        <v>67000</v>
      </c>
      <c r="C89" s="103" t="s">
        <v>413</v>
      </c>
      <c r="D89" s="121">
        <f>IFERROR(VLOOKUP(B89,[1]Sheet1!$A$16:$C$101,3,0),0)</f>
        <v>0</v>
      </c>
      <c r="E89" s="104"/>
      <c r="F89" s="104">
        <v>525</v>
      </c>
      <c r="G89" s="104">
        <v>1586.05</v>
      </c>
      <c r="H89" s="68"/>
    </row>
    <row r="90" spans="1:8">
      <c r="A90" s="101" t="str">
        <f>VLOOKUP(B90,Vertaaltabel!B:C,2,0)</f>
        <v>Subsidies NOC/NSF</v>
      </c>
      <c r="B90" s="102">
        <v>70000</v>
      </c>
      <c r="C90" s="103" t="s">
        <v>414</v>
      </c>
      <c r="D90" s="121">
        <f>IFERROR(VLOOKUP(B90,[1]Sheet1!$A$16:$C$101,3,0),0)</f>
        <v>0</v>
      </c>
      <c r="E90" s="104"/>
      <c r="F90" s="104">
        <v>-900</v>
      </c>
      <c r="G90" s="104"/>
      <c r="H90" s="68"/>
    </row>
    <row r="91" spans="1:8">
      <c r="A91" s="101" t="str">
        <f>VLOOKUP(B91,Vertaaltabel!B:C,2,0)</f>
        <v>Subsidies NOC/NSF</v>
      </c>
      <c r="B91" s="102">
        <v>70001</v>
      </c>
      <c r="C91" s="103" t="s">
        <v>466</v>
      </c>
      <c r="D91" s="121">
        <f>IFERROR(VLOOKUP(B91,[1]Sheet1!$A$16:$C$101,3,0),0)</f>
        <v>0</v>
      </c>
      <c r="E91" s="104">
        <v>-6493.26</v>
      </c>
      <c r="F91" s="104"/>
      <c r="G91" s="104"/>
      <c r="H91" s="68"/>
    </row>
    <row r="92" spans="1:8">
      <c r="A92" s="101" t="str">
        <f>VLOOKUP(B92,Vertaaltabel!B:C,2,0)</f>
        <v>Subsidies NOC/NSF</v>
      </c>
      <c r="B92" s="102">
        <v>70005</v>
      </c>
      <c r="C92" s="103" t="s">
        <v>415</v>
      </c>
      <c r="D92" s="121">
        <f>IFERROR(VLOOKUP(B92,[1]Sheet1!$A$16:$C$101,3,0),0)</f>
        <v>-47128.25</v>
      </c>
      <c r="E92" s="104">
        <v>-178340.25</v>
      </c>
      <c r="F92" s="104">
        <v>-181716</v>
      </c>
      <c r="G92" s="104">
        <v>-177072</v>
      </c>
      <c r="H92" s="68"/>
    </row>
    <row r="93" spans="1:8">
      <c r="A93" s="101" t="str">
        <f>VLOOKUP(B93,Vertaaltabel!B:C,2,0)</f>
        <v>Subsidies NOC/NSF</v>
      </c>
      <c r="B93" s="102">
        <v>70008</v>
      </c>
      <c r="C93" s="103" t="s">
        <v>445</v>
      </c>
      <c r="D93" s="121">
        <f>IFERROR(VLOOKUP(B93,[1]Sheet1!$A$16:$C$101,3,0),0)</f>
        <v>0</v>
      </c>
      <c r="E93" s="104">
        <v>-200</v>
      </c>
      <c r="F93" s="104">
        <v>-15500</v>
      </c>
      <c r="G93" s="104">
        <v>-7500</v>
      </c>
      <c r="H93" s="68"/>
    </row>
    <row r="94" spans="1:8">
      <c r="A94" s="101" t="str">
        <f>VLOOKUP(B94,Vertaaltabel!B:C,2,0)</f>
        <v>Nationale wedst. Senioren</v>
      </c>
      <c r="B94" s="102">
        <v>70109</v>
      </c>
      <c r="C94" s="103" t="s">
        <v>446</v>
      </c>
      <c r="D94" s="121">
        <f>IFERROR(VLOOKUP(B94,[1]Sheet1!$A$16:$C$101,3,0),0)</f>
        <v>0</v>
      </c>
      <c r="E94" s="104"/>
      <c r="F94" s="104">
        <v>-22500</v>
      </c>
      <c r="G94" s="104">
        <v>-450</v>
      </c>
      <c r="H94" s="68"/>
    </row>
    <row r="95" spans="1:8">
      <c r="A95" s="101" t="str">
        <f>VLOOKUP(B95,Vertaaltabel!B:C,2,0)</f>
        <v>Opbrengsten NC</v>
      </c>
      <c r="B95" s="102">
        <v>70201</v>
      </c>
      <c r="C95" s="103" t="s">
        <v>416</v>
      </c>
      <c r="D95" s="121">
        <f>IFERROR(VLOOKUP(B95,[1]Sheet1!$A$16:$C$101,3,0),0)</f>
        <v>0</v>
      </c>
      <c r="E95" s="104"/>
      <c r="F95" s="104">
        <v>-13454.51</v>
      </c>
      <c r="G95" s="104">
        <v>-6017.86</v>
      </c>
      <c r="H95" s="68"/>
    </row>
    <row r="96" spans="1:8">
      <c r="A96" s="101" t="str">
        <f>VLOOKUP(B96,Vertaaltabel!B:C,2,0)</f>
        <v>Nationale Jeugdwedstrijden</v>
      </c>
      <c r="B96" s="102">
        <v>70304</v>
      </c>
      <c r="C96" s="103" t="s">
        <v>417</v>
      </c>
      <c r="D96" s="121">
        <f>IFERROR(VLOOKUP(B96,[1]Sheet1!$A$16:$C$101,3,0),0)</f>
        <v>0</v>
      </c>
      <c r="E96" s="104"/>
      <c r="F96" s="104">
        <v>-100</v>
      </c>
      <c r="G96" s="104">
        <v>0</v>
      </c>
      <c r="H96" s="68"/>
    </row>
    <row r="97" spans="1:8">
      <c r="A97" s="101" t="str">
        <f>VLOOKUP(B97,Vertaaltabel!B:C,2,0)</f>
        <v>Nationale wedst. Senioren</v>
      </c>
      <c r="B97" s="102">
        <v>70401</v>
      </c>
      <c r="C97" s="103" t="s">
        <v>418</v>
      </c>
      <c r="D97" s="121">
        <f>IFERROR(VLOOKUP(B97,[1]Sheet1!$A$16:$C$101,3,0),0)</f>
        <v>-1388.52</v>
      </c>
      <c r="E97" s="104">
        <v>-1487.7</v>
      </c>
      <c r="F97" s="104">
        <v>-991.68000000000097</v>
      </c>
      <c r="G97" s="104">
        <v>0</v>
      </c>
      <c r="H97" s="68"/>
    </row>
    <row r="98" spans="1:8">
      <c r="A98" s="101" t="str">
        <f>VLOOKUP(B98,Vertaaltabel!B:C,2,0)</f>
        <v>Nationale Jeugdwedstrijden</v>
      </c>
      <c r="B98" s="102">
        <v>70404</v>
      </c>
      <c r="C98" s="103" t="s">
        <v>447</v>
      </c>
      <c r="D98" s="121">
        <f>IFERROR(VLOOKUP(B98,[1]Sheet1!$A$16:$C$101,3,0),0)</f>
        <v>0</v>
      </c>
      <c r="E98" s="104"/>
      <c r="F98" s="104"/>
      <c r="G98" s="104">
        <v>-300</v>
      </c>
      <c r="H98" s="68"/>
    </row>
    <row r="99" spans="1:8">
      <c r="A99" s="101" t="str">
        <f>VLOOKUP(B99,Vertaaltabel!B:C,2,0)</f>
        <v>Nationale Jeugdwedstrijden</v>
      </c>
      <c r="B99" s="102">
        <v>70405</v>
      </c>
      <c r="C99" s="103" t="s">
        <v>448</v>
      </c>
      <c r="D99" s="121">
        <f>IFERROR(VLOOKUP(B99,[1]Sheet1!$A$16:$C$101,3,0),0)</f>
        <v>0</v>
      </c>
      <c r="E99" s="104"/>
      <c r="F99" s="104"/>
      <c r="G99" s="104">
        <v>-370</v>
      </c>
      <c r="H99" s="68"/>
    </row>
    <row r="100" spans="1:8">
      <c r="A100" s="101" t="str">
        <f>VLOOKUP(B100,Vertaaltabel!B:C,2,0)</f>
        <v>Schooldammen</v>
      </c>
      <c r="B100" s="102">
        <v>70604</v>
      </c>
      <c r="C100" s="103" t="s">
        <v>419</v>
      </c>
      <c r="D100" s="121">
        <f>IFERROR(VLOOKUP(B100,[1]Sheet1!$A$16:$C$101,3,0),0)</f>
        <v>0</v>
      </c>
      <c r="E100" s="104"/>
      <c r="F100" s="104">
        <v>-60</v>
      </c>
      <c r="G100" s="104">
        <v>0</v>
      </c>
      <c r="H100" s="68"/>
    </row>
    <row r="101" spans="1:8">
      <c r="A101" s="101" t="str">
        <f>VLOOKUP(B101,Vertaaltabel!B:C,2,0)</f>
        <v>Het Damspel</v>
      </c>
      <c r="B101" s="102">
        <v>70700</v>
      </c>
      <c r="C101" s="103" t="s">
        <v>420</v>
      </c>
      <c r="D101" s="121">
        <f>IFERROR(VLOOKUP(B101,[1]Sheet1!$A$16:$C$101,3,0),0)</f>
        <v>0</v>
      </c>
      <c r="E101" s="104">
        <v>-22.5</v>
      </c>
      <c r="F101" s="104">
        <v>-90.91</v>
      </c>
      <c r="G101" s="104">
        <v>0</v>
      </c>
      <c r="H101" s="68"/>
    </row>
    <row r="102" spans="1:8">
      <c r="A102" s="101" t="str">
        <f>VLOOKUP(B102,Vertaaltabel!B:C,2,0)</f>
        <v>Kantoorkosten (algemeen)</v>
      </c>
      <c r="B102" s="102">
        <v>70710</v>
      </c>
      <c r="C102" s="103" t="s">
        <v>449</v>
      </c>
      <c r="D102" s="121">
        <f>IFERROR(VLOOKUP(B102,[1]Sheet1!$A$16:$C$101,3,0),0)</f>
        <v>0</v>
      </c>
      <c r="E102" s="104"/>
      <c r="F102" s="104"/>
      <c r="G102" s="104">
        <v>-525</v>
      </c>
      <c r="H102" s="68"/>
    </row>
    <row r="103" spans="1:8">
      <c r="A103" s="101" t="str">
        <f>VLOOKUP(B103,Vertaaltabel!B:C,2,0)</f>
        <v>Topsport</v>
      </c>
      <c r="B103" s="102">
        <v>71001</v>
      </c>
      <c r="C103" s="103" t="s">
        <v>421</v>
      </c>
      <c r="D103" s="121">
        <f>IFERROR(VLOOKUP(B103,[1]Sheet1!$A$16:$C$101,3,0),0)</f>
        <v>0</v>
      </c>
      <c r="E103" s="104"/>
      <c r="F103" s="104">
        <v>-9214.86</v>
      </c>
      <c r="G103" s="104">
        <v>-10050</v>
      </c>
      <c r="H103" s="68"/>
    </row>
    <row r="104" spans="1:8">
      <c r="A104" s="101" t="str">
        <f>VLOOKUP(B104,Vertaaltabel!B:C,2,0)</f>
        <v>Training CJT,CAT,CPT en CMT</v>
      </c>
      <c r="B104" s="102">
        <v>71101</v>
      </c>
      <c r="C104" s="103" t="s">
        <v>422</v>
      </c>
      <c r="D104" s="121">
        <f>IFERROR(VLOOKUP(B104,[1]Sheet1!$A$16:$C$101,3,0),0)</f>
        <v>-1586.76</v>
      </c>
      <c r="E104" s="104">
        <v>-1418.12</v>
      </c>
      <c r="F104" s="104">
        <v>-1675.96</v>
      </c>
      <c r="G104" s="104">
        <v>-1670.5</v>
      </c>
      <c r="H104" s="68"/>
    </row>
    <row r="105" spans="1:8">
      <c r="A105" s="101" t="str">
        <f>VLOOKUP(B105,Vertaaltabel!B:C,2,0)</f>
        <v>Training CJT,CAT,CPT en CMT</v>
      </c>
      <c r="B105" s="102">
        <v>71102</v>
      </c>
      <c r="C105" s="103" t="s">
        <v>423</v>
      </c>
      <c r="D105" s="121">
        <f>IFERROR(VLOOKUP(B105,[1]Sheet1!$A$16:$C$101,3,0),0)</f>
        <v>-870.3</v>
      </c>
      <c r="E105" s="104">
        <v>-1036.31</v>
      </c>
      <c r="F105" s="104">
        <v>-1299.1600000000001</v>
      </c>
      <c r="G105" s="104">
        <v>-1589.5</v>
      </c>
      <c r="H105" s="68"/>
    </row>
    <row r="106" spans="1:8">
      <c r="A106" s="101" t="str">
        <f>VLOOKUP(B106,Vertaaltabel!B:C,2,0)</f>
        <v>Training CJT,CAT,CPT en CMT</v>
      </c>
      <c r="B106" s="102">
        <v>71103</v>
      </c>
      <c r="C106" s="103" t="s">
        <v>424</v>
      </c>
      <c r="D106" s="121">
        <f>IFERROR(VLOOKUP(B106,[1]Sheet1!$A$16:$C$101,3,0),0)</f>
        <v>-1214.92</v>
      </c>
      <c r="E106" s="104"/>
      <c r="F106" s="104">
        <v>-590.1</v>
      </c>
      <c r="G106" s="104">
        <v>-1419.5</v>
      </c>
      <c r="H106" s="68"/>
    </row>
    <row r="107" spans="1:8">
      <c r="A107" s="101" t="str">
        <f>VLOOKUP(B107,Vertaaltabel!B:C,2,0)</f>
        <v>Training CJT,CAT,CPT en CMT</v>
      </c>
      <c r="B107" s="102">
        <v>71104</v>
      </c>
      <c r="C107" s="103" t="s">
        <v>425</v>
      </c>
      <c r="D107" s="121">
        <f>IFERROR(VLOOKUP(B107,[1]Sheet1!$A$16:$C$101,3,0),0)</f>
        <v>-954.6</v>
      </c>
      <c r="E107" s="104">
        <v>-464.85</v>
      </c>
      <c r="F107" s="104">
        <v>-495.84</v>
      </c>
      <c r="G107" s="104">
        <v>-976</v>
      </c>
      <c r="H107" s="68"/>
    </row>
    <row r="108" spans="1:8">
      <c r="A108" s="101" t="str">
        <f>VLOOKUP(B108,Vertaaltabel!B:C,2,0)</f>
        <v>Internationale wedst Senioren</v>
      </c>
      <c r="B108" s="102">
        <v>71201</v>
      </c>
      <c r="C108" s="103" t="s">
        <v>426</v>
      </c>
      <c r="D108" s="121">
        <f>IFERROR(VLOOKUP(B108,[1]Sheet1!$A$16:$C$101,3,0),0)</f>
        <v>0</v>
      </c>
      <c r="E108" s="104">
        <v>-160</v>
      </c>
      <c r="F108" s="104">
        <v>-600</v>
      </c>
      <c r="G108" s="104">
        <v>-2656.82</v>
      </c>
      <c r="H108" s="68"/>
    </row>
    <row r="109" spans="1:8">
      <c r="A109" s="101" t="str">
        <f>VLOOKUP(B109,Vertaaltabel!B:C,2,0)</f>
        <v>Internationale wedst Senioren</v>
      </c>
      <c r="B109" s="102">
        <v>71203</v>
      </c>
      <c r="C109" s="103" t="s">
        <v>450</v>
      </c>
      <c r="D109" s="121">
        <f>IFERROR(VLOOKUP(B109,[1]Sheet1!$A$16:$C$101,3,0),0)</f>
        <v>-11648.16</v>
      </c>
      <c r="E109" s="104"/>
      <c r="F109" s="104"/>
      <c r="G109" s="104">
        <v>-3309.61</v>
      </c>
      <c r="H109" s="68"/>
    </row>
    <row r="110" spans="1:8">
      <c r="A110" s="101" t="str">
        <f>VLOOKUP(B110,Vertaaltabel!B:C,2,0)</f>
        <v>Internationale wedst Senioren</v>
      </c>
      <c r="B110" s="102">
        <v>71209</v>
      </c>
      <c r="C110" s="103" t="s">
        <v>427</v>
      </c>
      <c r="D110" s="121">
        <f>IFERROR(VLOOKUP(B110,[1]Sheet1!$A$16:$C$101,3,0),0)</f>
        <v>-3461.6</v>
      </c>
      <c r="E110" s="104"/>
      <c r="F110" s="104">
        <v>-3274.11</v>
      </c>
      <c r="G110" s="104">
        <v>-1927.32</v>
      </c>
      <c r="H110" s="68"/>
    </row>
    <row r="111" spans="1:8">
      <c r="A111" s="101" t="str">
        <f>VLOOKUP(B111,Vertaaltabel!B:C,2,0)</f>
        <v>Internationale Jeugdwedst</v>
      </c>
      <c r="B111" s="102">
        <v>71305</v>
      </c>
      <c r="C111" s="103" t="s">
        <v>451</v>
      </c>
      <c r="D111" s="121">
        <f>IFERROR(VLOOKUP(B111,[1]Sheet1!$A$16:$C$101,3,0),0)</f>
        <v>0</v>
      </c>
      <c r="E111" s="104"/>
      <c r="F111" s="104">
        <v>-19017.349999999999</v>
      </c>
      <c r="G111" s="104">
        <v>-13951.46</v>
      </c>
      <c r="H111" s="68"/>
    </row>
    <row r="112" spans="1:8">
      <c r="A112" s="101" t="str">
        <f>VLOOKUP(B112,Vertaaltabel!B:C,2,0)</f>
        <v>Internationale Jeugdwedst</v>
      </c>
      <c r="B112" s="102">
        <v>71301</v>
      </c>
      <c r="C112" s="103" t="s">
        <v>428</v>
      </c>
      <c r="D112" s="121">
        <f>IFERROR(VLOOKUP(B112,[1]Sheet1!$A$16:$C$101,3,0),0)</f>
        <v>-33097.58</v>
      </c>
      <c r="E112" s="104">
        <v>-31539.61</v>
      </c>
      <c r="F112" s="104">
        <v>-24438.5</v>
      </c>
      <c r="G112" s="104">
        <v>0</v>
      </c>
      <c r="H112" s="68"/>
    </row>
    <row r="113" spans="1:8">
      <c r="A113" s="101" t="str">
        <f>VLOOKUP(B113,Vertaaltabel!B:C,2,0)</f>
        <v>Projecten en VO</v>
      </c>
      <c r="B113" s="102">
        <v>73101</v>
      </c>
      <c r="C113" s="103" t="s">
        <v>452</v>
      </c>
      <c r="D113" s="121">
        <f>IFERROR(VLOOKUP(B113,[1]Sheet1!$A$16:$C$101,3,0),0)</f>
        <v>0</v>
      </c>
      <c r="E113" s="104"/>
      <c r="F113" s="104"/>
      <c r="G113" s="104">
        <v>-800</v>
      </c>
      <c r="H113" s="68"/>
    </row>
    <row r="114" spans="1:8">
      <c r="A114" s="101" t="str">
        <f>VLOOKUP(B114,Vertaaltabel!B:C,2,0)</f>
        <v>Kantoorkosten (algemeen)</v>
      </c>
      <c r="B114" s="102">
        <v>76000</v>
      </c>
      <c r="C114" s="103" t="s">
        <v>429</v>
      </c>
      <c r="D114" s="121">
        <f>IFERROR(VLOOKUP(B114,[1]Sheet1!$A$16:$C$101,3,0),0)</f>
        <v>-41.32</v>
      </c>
      <c r="E114" s="104">
        <v>-947.51</v>
      </c>
      <c r="F114" s="104">
        <v>-788.41</v>
      </c>
      <c r="G114" s="104">
        <v>0</v>
      </c>
      <c r="H114" s="68"/>
    </row>
    <row r="115" spans="1:8">
      <c r="A115" s="101" t="str">
        <f>VLOOKUP(B115,Vertaaltabel!B:C,2,0)</f>
        <v>Kantoorkosten (algemeen)</v>
      </c>
      <c r="B115" s="102">
        <v>76001</v>
      </c>
      <c r="C115" s="103" t="s">
        <v>465</v>
      </c>
      <c r="D115" s="121">
        <f>IFERROR(VLOOKUP(B115,[1]Sheet1!$A$16:$C$101,3,0),0)</f>
        <v>-3394.03</v>
      </c>
      <c r="E115" s="104">
        <v>-14</v>
      </c>
      <c r="F115" s="104"/>
      <c r="G115" s="104"/>
      <c r="H115" s="68"/>
    </row>
    <row r="116" spans="1:8">
      <c r="A116" s="101" t="str">
        <f>VLOOKUP(B116,Vertaaltabel!B:C,2,0)</f>
        <v>Projecten en VO</v>
      </c>
      <c r="B116" s="102">
        <v>80201</v>
      </c>
      <c r="C116" s="103" t="s">
        <v>430</v>
      </c>
      <c r="D116" s="121">
        <f>IFERROR(VLOOKUP(B116,[1]Sheet1!$A$16:$C$101,3,0),0)</f>
        <v>0</v>
      </c>
      <c r="E116" s="104"/>
      <c r="F116" s="104">
        <v>5328.94</v>
      </c>
      <c r="G116" s="104">
        <v>4874.43</v>
      </c>
      <c r="H116" s="68"/>
    </row>
    <row r="117" spans="1:8">
      <c r="A117" s="101" t="str">
        <f>VLOOKUP(B117,Vertaaltabel!B:C,2,0)</f>
        <v>Bijzondere baten en lasten</v>
      </c>
      <c r="B117" s="102">
        <v>90000</v>
      </c>
      <c r="C117" s="103" t="s">
        <v>453</v>
      </c>
      <c r="D117" s="121">
        <f>IFERROR(VLOOKUP(B117,[1]Sheet1!$A$16:$C$101,3,0),0)</f>
        <v>0</v>
      </c>
      <c r="E117" s="104"/>
      <c r="F117" s="104"/>
      <c r="G117" s="104">
        <v>-2451.67</v>
      </c>
      <c r="H117" s="68"/>
    </row>
    <row r="118" spans="1:8">
      <c r="A118" s="101" t="str">
        <f>VLOOKUP(B118,Vertaaltabel!B:C,2,0)</f>
        <v>Bijzondere baten en lasten</v>
      </c>
      <c r="B118" s="102">
        <v>90001</v>
      </c>
      <c r="C118" s="103" t="s">
        <v>454</v>
      </c>
      <c r="D118" s="121">
        <f>IFERROR(VLOOKUP(B118,[1]Sheet1!$A$16:$C$101,3,0),0)</f>
        <v>0</v>
      </c>
      <c r="E118" s="104"/>
      <c r="F118" s="104">
        <v>10291</v>
      </c>
      <c r="G118" s="104">
        <v>5829</v>
      </c>
      <c r="H118" s="68"/>
    </row>
    <row r="119" spans="1:8">
      <c r="F119" s="105"/>
      <c r="G119" s="105"/>
      <c r="H119" s="69"/>
    </row>
    <row r="120" spans="1:8">
      <c r="B120" s="106" t="s">
        <v>432</v>
      </c>
      <c r="C120" s="105"/>
      <c r="D120" s="107">
        <f>SUM(D2:D119)</f>
        <v>125965.20000000006</v>
      </c>
      <c r="E120" s="107">
        <f>SUM(E2:E119)</f>
        <v>66682.880000001736</v>
      </c>
      <c r="F120" s="107">
        <f>SUM(F2:F119)</f>
        <v>482.79999999999563</v>
      </c>
      <c r="G120" s="107">
        <f>SUM(G2:G119)</f>
        <v>-17581.129999999946</v>
      </c>
      <c r="H120" s="70"/>
    </row>
    <row r="123" spans="1:8">
      <c r="E123" s="109"/>
    </row>
  </sheetData>
  <autoFilter ref="A1:G12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3"/>
  <sheetViews>
    <sheetView workbookViewId="0">
      <selection activeCell="L21" sqref="L21"/>
    </sheetView>
  </sheetViews>
  <sheetFormatPr defaultRowHeight="15"/>
  <cols>
    <col min="1" max="1" width="28.5703125" bestFit="1" customWidth="1"/>
    <col min="2" max="2" width="6" bestFit="1" customWidth="1"/>
    <col min="3" max="3" width="48.7109375" bestFit="1" customWidth="1"/>
    <col min="4" max="4" width="10.7109375" bestFit="1" customWidth="1"/>
    <col min="5" max="5" width="24.140625" bestFit="1" customWidth="1"/>
    <col min="6" max="6" width="24.28515625" bestFit="1" customWidth="1"/>
    <col min="7" max="7" width="10.7109375" bestFit="1" customWidth="1"/>
    <col min="8" max="8" width="24.140625" bestFit="1" customWidth="1"/>
    <col min="9" max="9" width="24.28515625" bestFit="1" customWidth="1"/>
  </cols>
  <sheetData>
    <row r="1" spans="1:9">
      <c r="A1" t="s">
        <v>458</v>
      </c>
      <c r="B1" t="s">
        <v>276</v>
      </c>
      <c r="C1" s="101" t="s">
        <v>502</v>
      </c>
      <c r="D1" s="122" t="s">
        <v>559</v>
      </c>
      <c r="E1" s="124" t="s">
        <v>561</v>
      </c>
      <c r="F1" s="124" t="s">
        <v>562</v>
      </c>
      <c r="G1" s="122" t="s">
        <v>560</v>
      </c>
      <c r="H1" s="124" t="s">
        <v>563</v>
      </c>
      <c r="I1" s="124" t="s">
        <v>564</v>
      </c>
    </row>
    <row r="2" spans="1:9">
      <c r="C2" s="101" t="s">
        <v>503</v>
      </c>
      <c r="D2" s="101"/>
      <c r="E2" s="101"/>
      <c r="F2" s="101"/>
      <c r="G2" s="101"/>
      <c r="H2" s="101"/>
      <c r="I2" s="101"/>
    </row>
    <row r="3" spans="1:9">
      <c r="A3" s="101" t="str">
        <f>VLOOKUP(B3,Vertaaltabel!B:C,2,0)</f>
        <v>Salaris</v>
      </c>
      <c r="B3">
        <v>15047</v>
      </c>
      <c r="C3" s="101" t="s">
        <v>504</v>
      </c>
      <c r="D3" s="101">
        <f>E3+F3*-1</f>
        <v>-35</v>
      </c>
      <c r="E3" s="101"/>
      <c r="F3" s="123">
        <v>35</v>
      </c>
      <c r="G3" s="101">
        <f>H3+I3*-1</f>
        <v>0</v>
      </c>
      <c r="H3" s="101"/>
      <c r="I3" s="101"/>
    </row>
    <row r="4" spans="1:9">
      <c r="A4" s="101" t="str">
        <f>VLOOKUP(B4,Vertaaltabel!B:C,2,0)</f>
        <v>Salaris</v>
      </c>
      <c r="B4">
        <v>40000</v>
      </c>
      <c r="C4" s="101" t="s">
        <v>150</v>
      </c>
      <c r="D4" s="101">
        <f t="shared" ref="D4:D67" si="0">E4+F4*-1</f>
        <v>90650.27</v>
      </c>
      <c r="E4" s="123">
        <v>90650.27</v>
      </c>
      <c r="F4" s="101"/>
      <c r="G4" s="101">
        <f t="shared" ref="G4:G67" si="1">H4+I4*-1</f>
        <v>144554.53</v>
      </c>
      <c r="H4" s="123">
        <v>144554.53</v>
      </c>
      <c r="I4" s="101"/>
    </row>
    <row r="5" spans="1:9">
      <c r="A5" s="101" t="str">
        <f>VLOOKUP(B5,Vertaaltabel!B:C,2,0)</f>
        <v>Salaris</v>
      </c>
      <c r="B5">
        <v>40001</v>
      </c>
      <c r="C5" s="101" t="s">
        <v>151</v>
      </c>
      <c r="D5" s="101">
        <f t="shared" si="0"/>
        <v>6226.62</v>
      </c>
      <c r="E5" s="123">
        <v>6226.62</v>
      </c>
      <c r="F5" s="101"/>
      <c r="G5" s="101">
        <f t="shared" si="1"/>
        <v>11592.64</v>
      </c>
      <c r="H5" s="123">
        <v>11592.64</v>
      </c>
      <c r="I5" s="101"/>
    </row>
    <row r="6" spans="1:9">
      <c r="A6" s="101" t="str">
        <f>VLOOKUP(B6,Vertaaltabel!B:C,2,0)</f>
        <v>Salaris</v>
      </c>
      <c r="B6">
        <v>40002</v>
      </c>
      <c r="C6" s="101" t="s">
        <v>152</v>
      </c>
      <c r="D6" s="101">
        <f t="shared" si="0"/>
        <v>6532.7</v>
      </c>
      <c r="E6" s="123">
        <v>6532.7</v>
      </c>
      <c r="F6" s="101"/>
      <c r="G6" s="101">
        <f t="shared" si="1"/>
        <v>28131.17</v>
      </c>
      <c r="H6" s="123">
        <v>28131.17</v>
      </c>
      <c r="I6" s="101"/>
    </row>
    <row r="7" spans="1:9">
      <c r="A7" s="101" t="str">
        <f>VLOOKUP(B7,Vertaaltabel!B:C,2,0)</f>
        <v>Salaris</v>
      </c>
      <c r="B7">
        <v>40004</v>
      </c>
      <c r="C7" s="101" t="s">
        <v>154</v>
      </c>
      <c r="D7" s="101">
        <f t="shared" si="0"/>
        <v>2555.13</v>
      </c>
      <c r="E7" s="123">
        <v>2555.13</v>
      </c>
      <c r="F7" s="101"/>
      <c r="G7" s="101">
        <f t="shared" si="1"/>
        <v>18025.650000000001</v>
      </c>
      <c r="H7" s="123">
        <v>18025.650000000001</v>
      </c>
      <c r="I7" s="101"/>
    </row>
    <row r="8" spans="1:9">
      <c r="A8" s="101" t="str">
        <f>VLOOKUP(B8,Vertaaltabel!B:C,2,0)</f>
        <v>Salaris</v>
      </c>
      <c r="B8">
        <v>40010</v>
      </c>
      <c r="C8" s="101" t="s">
        <v>155</v>
      </c>
      <c r="D8" s="101">
        <f t="shared" si="0"/>
        <v>3411.51</v>
      </c>
      <c r="E8" s="123">
        <v>3411.51</v>
      </c>
      <c r="F8" s="101"/>
      <c r="G8" s="101">
        <f t="shared" si="1"/>
        <v>12191.19</v>
      </c>
      <c r="H8" s="123">
        <v>12191.19</v>
      </c>
      <c r="I8" s="101"/>
    </row>
    <row r="9" spans="1:9">
      <c r="A9" s="101" t="str">
        <f>VLOOKUP(B9,Vertaaltabel!B:C,2,0)</f>
        <v>Salaris</v>
      </c>
      <c r="B9">
        <v>40011</v>
      </c>
      <c r="C9" s="101" t="s">
        <v>156</v>
      </c>
      <c r="D9" s="101">
        <f t="shared" si="0"/>
        <v>4735.7700000000004</v>
      </c>
      <c r="E9" s="123">
        <v>4735.7700000000004</v>
      </c>
      <c r="F9" s="101"/>
      <c r="G9" s="101">
        <f t="shared" si="1"/>
        <v>8529.7099999999991</v>
      </c>
      <c r="H9" s="123">
        <v>8529.7099999999991</v>
      </c>
      <c r="I9" s="101"/>
    </row>
    <row r="10" spans="1:9">
      <c r="A10" s="101" t="str">
        <f>VLOOKUP(B10,Vertaaltabel!B:C,2,0)</f>
        <v>Salaris</v>
      </c>
      <c r="B10">
        <v>40012</v>
      </c>
      <c r="C10" s="101" t="s">
        <v>505</v>
      </c>
      <c r="D10" s="101">
        <f t="shared" si="0"/>
        <v>450.49</v>
      </c>
      <c r="E10" s="123">
        <v>450.49</v>
      </c>
      <c r="F10" s="101"/>
      <c r="G10" s="101">
        <f t="shared" si="1"/>
        <v>12962.76</v>
      </c>
      <c r="H10" s="123">
        <v>12962.76</v>
      </c>
      <c r="I10" s="101"/>
    </row>
    <row r="11" spans="1:9">
      <c r="A11" s="101" t="str">
        <f>VLOOKUP(B11,Vertaaltabel!B:C,2,0)</f>
        <v>Salaris</v>
      </c>
      <c r="B11">
        <v>40015</v>
      </c>
      <c r="C11" s="101" t="s">
        <v>157</v>
      </c>
      <c r="D11" s="101">
        <f t="shared" si="0"/>
        <v>1478.66</v>
      </c>
      <c r="E11" s="123">
        <v>1478.66</v>
      </c>
      <c r="F11" s="101"/>
      <c r="G11" s="101">
        <f t="shared" si="1"/>
        <v>6070.83</v>
      </c>
      <c r="H11" s="123">
        <v>6070.83</v>
      </c>
      <c r="I11" s="101"/>
    </row>
    <row r="12" spans="1:9">
      <c r="A12" s="101" t="str">
        <f>VLOOKUP(B12,Vertaaltabel!B:C,2,0)</f>
        <v>Salaris</v>
      </c>
      <c r="B12">
        <v>40019</v>
      </c>
      <c r="C12" s="101" t="s">
        <v>506</v>
      </c>
      <c r="D12" s="101">
        <f t="shared" si="0"/>
        <v>0</v>
      </c>
      <c r="E12" s="101"/>
      <c r="F12" s="101"/>
      <c r="G12" s="101">
        <f t="shared" si="1"/>
        <v>3000</v>
      </c>
      <c r="H12" s="123">
        <v>3000</v>
      </c>
      <c r="I12" s="101"/>
    </row>
    <row r="13" spans="1:9">
      <c r="A13" s="101" t="str">
        <f>VLOOKUP(B13,Vertaaltabel!B:C,2,0)</f>
        <v>Salaris</v>
      </c>
      <c r="B13">
        <v>40030</v>
      </c>
      <c r="C13" s="101" t="s">
        <v>161</v>
      </c>
      <c r="D13" s="101">
        <f t="shared" si="0"/>
        <v>1806.82</v>
      </c>
      <c r="E13" s="123">
        <v>1806.82</v>
      </c>
      <c r="F13" s="101"/>
      <c r="G13" s="101">
        <f t="shared" si="1"/>
        <v>0</v>
      </c>
      <c r="H13" s="101"/>
      <c r="I13" s="101"/>
    </row>
    <row r="14" spans="1:9">
      <c r="A14" s="101" t="str">
        <f>VLOOKUP(B14,Vertaaltabel!B:C,2,0)</f>
        <v>Huur bondsbureau</v>
      </c>
      <c r="B14">
        <v>40100</v>
      </c>
      <c r="C14" s="101" t="s">
        <v>163</v>
      </c>
      <c r="D14" s="101">
        <f t="shared" si="0"/>
        <v>0</v>
      </c>
      <c r="E14" s="101"/>
      <c r="F14" s="101"/>
      <c r="G14" s="101">
        <f t="shared" si="1"/>
        <v>9250</v>
      </c>
      <c r="H14" s="123">
        <v>9250</v>
      </c>
      <c r="I14" s="101"/>
    </row>
    <row r="15" spans="1:9">
      <c r="A15" s="101" t="str">
        <f>VLOOKUP(B15,Vertaaltabel!B:C,2,0)</f>
        <v>Kantoorkosten (algemeen)</v>
      </c>
      <c r="B15">
        <v>40202</v>
      </c>
      <c r="C15" s="101" t="s">
        <v>507</v>
      </c>
      <c r="D15" s="101">
        <f t="shared" si="0"/>
        <v>0</v>
      </c>
      <c r="E15" s="101"/>
      <c r="F15" s="101"/>
      <c r="G15" s="101">
        <f t="shared" si="1"/>
        <v>365</v>
      </c>
      <c r="H15" s="123">
        <v>365</v>
      </c>
      <c r="I15" s="101"/>
    </row>
    <row r="16" spans="1:9">
      <c r="A16" s="101" t="str">
        <f>VLOOKUP(B16,Vertaaltabel!B:C,2,0)</f>
        <v>afschrijvingen</v>
      </c>
      <c r="B16">
        <v>40205</v>
      </c>
      <c r="C16" s="101" t="s">
        <v>164</v>
      </c>
      <c r="D16" s="101">
        <f t="shared" si="0"/>
        <v>0</v>
      </c>
      <c r="E16" s="101"/>
      <c r="F16" s="101"/>
      <c r="G16" s="101">
        <f t="shared" si="1"/>
        <v>618.35</v>
      </c>
      <c r="H16" s="123">
        <v>618.35</v>
      </c>
      <c r="I16" s="101"/>
    </row>
    <row r="17" spans="1:9">
      <c r="A17" s="101" t="str">
        <f>VLOOKUP(B17,Vertaaltabel!B:C,2,0)</f>
        <v>Kantoorkosten (algemeen)</v>
      </c>
      <c r="B17">
        <v>40221</v>
      </c>
      <c r="C17" s="101" t="s">
        <v>508</v>
      </c>
      <c r="D17" s="101">
        <f t="shared" si="0"/>
        <v>440</v>
      </c>
      <c r="E17" s="123">
        <v>440</v>
      </c>
      <c r="F17" s="101"/>
      <c r="G17" s="101">
        <f t="shared" si="1"/>
        <v>-256</v>
      </c>
      <c r="H17" s="101"/>
      <c r="I17" s="123">
        <v>256</v>
      </c>
    </row>
    <row r="18" spans="1:9">
      <c r="A18" s="101" t="str">
        <f>VLOOKUP(B18,Vertaaltabel!B:C,2,0)</f>
        <v>Kantoorkosten (algemeen)</v>
      </c>
      <c r="B18">
        <v>40222</v>
      </c>
      <c r="C18" s="101" t="s">
        <v>177</v>
      </c>
      <c r="D18" s="101">
        <f t="shared" si="0"/>
        <v>9104.82</v>
      </c>
      <c r="E18" s="123">
        <v>9104.82</v>
      </c>
      <c r="F18" s="101"/>
      <c r="G18" s="101">
        <f t="shared" si="1"/>
        <v>10454.61</v>
      </c>
      <c r="H18" s="123">
        <v>10454.61</v>
      </c>
      <c r="I18" s="101"/>
    </row>
    <row r="19" spans="1:9">
      <c r="A19" s="101" t="str">
        <f>VLOOKUP(B19,Vertaaltabel!B:C,2,0)</f>
        <v>Kantoorkosten (topsport)</v>
      </c>
      <c r="B19">
        <v>40224</v>
      </c>
      <c r="C19" s="101" t="s">
        <v>178</v>
      </c>
      <c r="D19" s="101">
        <f t="shared" si="0"/>
        <v>8100</v>
      </c>
      <c r="E19" s="123">
        <v>8100</v>
      </c>
      <c r="F19" s="101"/>
      <c r="G19" s="101">
        <f t="shared" si="1"/>
        <v>8100</v>
      </c>
      <c r="H19" s="123">
        <v>8100</v>
      </c>
      <c r="I19" s="101"/>
    </row>
    <row r="20" spans="1:9">
      <c r="A20" s="101" t="str">
        <f>VLOOKUP(B20,Vertaaltabel!B:C,2,0)</f>
        <v>Kantoorkosten (algemeen)</v>
      </c>
      <c r="B20">
        <v>40225</v>
      </c>
      <c r="C20" s="101" t="s">
        <v>179</v>
      </c>
      <c r="D20" s="101">
        <f t="shared" si="0"/>
        <v>981.24</v>
      </c>
      <c r="E20" s="123">
        <v>981.24</v>
      </c>
      <c r="F20" s="101"/>
      <c r="G20" s="101">
        <f t="shared" si="1"/>
        <v>727.85</v>
      </c>
      <c r="H20" s="123">
        <v>727.85</v>
      </c>
      <c r="I20" s="101"/>
    </row>
    <row r="21" spans="1:9">
      <c r="A21" s="101" t="str">
        <f>VLOOKUP(B21,Vertaaltabel!B:C,2,0)</f>
        <v>Kantoorkosten (algemeen)</v>
      </c>
      <c r="B21">
        <v>40226</v>
      </c>
      <c r="C21" s="101" t="s">
        <v>180</v>
      </c>
      <c r="D21" s="101">
        <f t="shared" si="0"/>
        <v>963.39</v>
      </c>
      <c r="E21" s="123">
        <v>963.39</v>
      </c>
      <c r="F21" s="101"/>
      <c r="G21" s="101">
        <f t="shared" si="1"/>
        <v>0</v>
      </c>
      <c r="H21" s="101"/>
      <c r="I21" s="101"/>
    </row>
    <row r="22" spans="1:9">
      <c r="A22" s="101" t="str">
        <f>VLOOKUP(B22,Vertaaltabel!B:C,2,0)</f>
        <v>Kantoorkosten (algemeen)</v>
      </c>
      <c r="B22">
        <v>40227</v>
      </c>
      <c r="C22" s="101" t="s">
        <v>181</v>
      </c>
      <c r="D22" s="101">
        <f t="shared" si="0"/>
        <v>1545.26</v>
      </c>
      <c r="E22" s="123">
        <v>1545.26</v>
      </c>
      <c r="F22" s="101"/>
      <c r="G22" s="101">
        <f t="shared" si="1"/>
        <v>3354.58</v>
      </c>
      <c r="H22" s="123">
        <v>3354.58</v>
      </c>
      <c r="I22" s="101"/>
    </row>
    <row r="23" spans="1:9">
      <c r="A23" s="101" t="str">
        <f>VLOOKUP(B23,Vertaaltabel!B:C,2,0)</f>
        <v>Kantoorkosten (algemeen)</v>
      </c>
      <c r="B23">
        <v>40228</v>
      </c>
      <c r="C23" s="101" t="s">
        <v>182</v>
      </c>
      <c r="D23" s="101">
        <f t="shared" si="0"/>
        <v>710.86</v>
      </c>
      <c r="E23" s="123">
        <v>710.86</v>
      </c>
      <c r="F23" s="101"/>
      <c r="G23" s="101">
        <f t="shared" si="1"/>
        <v>835.09</v>
      </c>
      <c r="H23" s="123">
        <v>835.09</v>
      </c>
      <c r="I23" s="101"/>
    </row>
    <row r="24" spans="1:9">
      <c r="A24" s="101" t="str">
        <f>VLOOKUP(B24,Vertaaltabel!B:C,2,0)</f>
        <v>Kantoorkosten (algemeen)</v>
      </c>
      <c r="B24">
        <v>40229</v>
      </c>
      <c r="C24" s="101" t="s">
        <v>509</v>
      </c>
      <c r="D24" s="101">
        <f t="shared" si="0"/>
        <v>920.45</v>
      </c>
      <c r="E24" s="123">
        <v>920.45</v>
      </c>
      <c r="F24" s="101"/>
      <c r="G24" s="101">
        <f t="shared" si="1"/>
        <v>1580.93</v>
      </c>
      <c r="H24" s="123">
        <v>1580.93</v>
      </c>
      <c r="I24" s="101"/>
    </row>
    <row r="25" spans="1:9">
      <c r="A25" s="101" t="str">
        <f>VLOOKUP(B25,Vertaaltabel!B:C,2,0)</f>
        <v>Kantoorkosten (algemeen)</v>
      </c>
      <c r="B25">
        <v>40233</v>
      </c>
      <c r="C25" s="101" t="s">
        <v>185</v>
      </c>
      <c r="D25" s="101">
        <f t="shared" si="0"/>
        <v>0.03</v>
      </c>
      <c r="E25" s="123">
        <v>0.03</v>
      </c>
      <c r="F25" s="101"/>
      <c r="G25" s="101">
        <f t="shared" si="1"/>
        <v>33.64</v>
      </c>
      <c r="H25" s="123">
        <v>33.64</v>
      </c>
      <c r="I25" s="101"/>
    </row>
    <row r="26" spans="1:9">
      <c r="A26" s="101" t="str">
        <f>VLOOKUP(B26,Vertaaltabel!B:C,2,0)</f>
        <v>Kantoorkosten (algemeen)</v>
      </c>
      <c r="B26">
        <v>40234</v>
      </c>
      <c r="C26" s="101" t="s">
        <v>510</v>
      </c>
      <c r="D26" s="101">
        <f t="shared" si="0"/>
        <v>0</v>
      </c>
      <c r="E26" s="101"/>
      <c r="F26" s="101"/>
      <c r="G26" s="101">
        <f t="shared" si="1"/>
        <v>1805.1</v>
      </c>
      <c r="H26" s="123">
        <v>1805.1</v>
      </c>
      <c r="I26" s="101"/>
    </row>
    <row r="27" spans="1:9">
      <c r="A27" s="101" t="str">
        <f>VLOOKUP(B27,Vertaaltabel!B:C,2,0)</f>
        <v>Kantoorkosten (algemeen)</v>
      </c>
      <c r="B27">
        <v>40235</v>
      </c>
      <c r="C27" s="101" t="s">
        <v>186</v>
      </c>
      <c r="D27" s="101">
        <f t="shared" si="0"/>
        <v>0</v>
      </c>
      <c r="E27" s="101"/>
      <c r="F27" s="101"/>
      <c r="G27" s="101">
        <f t="shared" si="1"/>
        <v>170</v>
      </c>
      <c r="H27" s="123">
        <v>170</v>
      </c>
      <c r="I27" s="101"/>
    </row>
    <row r="28" spans="1:9">
      <c r="A28" s="101" t="str">
        <f>VLOOKUP(B28,Vertaaltabel!B:C,2,0)</f>
        <v>Kantoorkosten (algemeen)</v>
      </c>
      <c r="B28">
        <v>40250</v>
      </c>
      <c r="C28" s="101" t="s">
        <v>250</v>
      </c>
      <c r="D28" s="101">
        <f t="shared" si="0"/>
        <v>1203.2</v>
      </c>
      <c r="E28" s="123">
        <v>1203.2</v>
      </c>
      <c r="F28" s="101"/>
      <c r="G28" s="101">
        <f t="shared" si="1"/>
        <v>1885.07</v>
      </c>
      <c r="H28" s="123">
        <v>1885.07</v>
      </c>
      <c r="I28" s="101"/>
    </row>
    <row r="29" spans="1:9">
      <c r="A29" s="101" t="str">
        <f>VLOOKUP(B29,Vertaaltabel!B:C,2,0)</f>
        <v>Promotie</v>
      </c>
      <c r="B29">
        <v>40302</v>
      </c>
      <c r="C29" s="101" t="s">
        <v>187</v>
      </c>
      <c r="D29" s="101">
        <f t="shared" si="0"/>
        <v>0</v>
      </c>
      <c r="E29" s="101"/>
      <c r="F29" s="101"/>
      <c r="G29" s="101">
        <f t="shared" si="1"/>
        <v>4362.5600000000004</v>
      </c>
      <c r="H29" s="123">
        <v>4362.5600000000004</v>
      </c>
      <c r="I29" s="101"/>
    </row>
    <row r="30" spans="1:9">
      <c r="A30" s="101" t="str">
        <f>VLOOKUP(B30,Vertaaltabel!B:C,2,0)</f>
        <v>Internet</v>
      </c>
      <c r="B30">
        <v>40304</v>
      </c>
      <c r="C30" s="101" t="s">
        <v>188</v>
      </c>
      <c r="D30" s="101">
        <f t="shared" si="0"/>
        <v>2197.88</v>
      </c>
      <c r="E30" s="123">
        <v>2197.88</v>
      </c>
      <c r="F30" s="101"/>
      <c r="G30" s="101">
        <f t="shared" si="1"/>
        <v>4133.8</v>
      </c>
      <c r="H30" s="123">
        <v>4133.8</v>
      </c>
      <c r="I30" s="101"/>
    </row>
    <row r="31" spans="1:9">
      <c r="A31" s="101" t="str">
        <f>VLOOKUP(B31,Vertaaltabel!B:C,2,0)</f>
        <v>Promotie</v>
      </c>
      <c r="B31">
        <v>40305</v>
      </c>
      <c r="C31" s="101" t="s">
        <v>511</v>
      </c>
      <c r="D31" s="101">
        <f t="shared" si="0"/>
        <v>206.75</v>
      </c>
      <c r="E31" s="123">
        <v>206.75</v>
      </c>
      <c r="F31" s="101"/>
      <c r="G31" s="101">
        <f t="shared" si="1"/>
        <v>0</v>
      </c>
      <c r="H31" s="101"/>
      <c r="I31" s="101"/>
    </row>
    <row r="32" spans="1:9">
      <c r="A32" s="101" t="str">
        <f>VLOOKUP(B32,Vertaaltabel!B:C,2,0)</f>
        <v>Bestuur/BR/commissies</v>
      </c>
      <c r="B32">
        <v>40307</v>
      </c>
      <c r="C32" s="101" t="s">
        <v>189</v>
      </c>
      <c r="D32" s="101">
        <f t="shared" si="0"/>
        <v>450</v>
      </c>
      <c r="E32" s="123">
        <v>450</v>
      </c>
      <c r="F32" s="101"/>
      <c r="G32" s="101">
        <f t="shared" si="1"/>
        <v>244.62</v>
      </c>
      <c r="H32" s="123">
        <v>244.62</v>
      </c>
      <c r="I32" s="101"/>
    </row>
    <row r="33" spans="1:9">
      <c r="A33" s="101" t="str">
        <f>VLOOKUP(B33,Vertaaltabel!B:C,2,0)</f>
        <v>Bestuur/BR/commissies</v>
      </c>
      <c r="B33">
        <v>41000</v>
      </c>
      <c r="C33" s="101" t="s">
        <v>190</v>
      </c>
      <c r="D33" s="101">
        <f t="shared" si="0"/>
        <v>2253.36</v>
      </c>
      <c r="E33" s="123">
        <v>2253.36</v>
      </c>
      <c r="F33" s="101"/>
      <c r="G33" s="101">
        <f t="shared" si="1"/>
        <v>4319.78</v>
      </c>
      <c r="H33" s="123">
        <v>4319.78</v>
      </c>
      <c r="I33" s="101"/>
    </row>
    <row r="34" spans="1:9">
      <c r="A34" s="101" t="str">
        <f>VLOOKUP(B34,Vertaaltabel!B:C,2,0)</f>
        <v>Bestuur/BR/commissies</v>
      </c>
      <c r="B34">
        <v>41001</v>
      </c>
      <c r="C34" s="101" t="s">
        <v>191</v>
      </c>
      <c r="D34" s="101">
        <f t="shared" si="0"/>
        <v>420.95</v>
      </c>
      <c r="E34" s="123">
        <v>420.95</v>
      </c>
      <c r="F34" s="101"/>
      <c r="G34" s="101">
        <f t="shared" si="1"/>
        <v>682</v>
      </c>
      <c r="H34" s="123">
        <v>682</v>
      </c>
      <c r="I34" s="101"/>
    </row>
    <row r="35" spans="1:9">
      <c r="A35" s="101" t="str">
        <f>VLOOKUP(B35,Vertaaltabel!B:C,2,0)</f>
        <v>Bestuur/BR/commissies</v>
      </c>
      <c r="B35">
        <v>42000</v>
      </c>
      <c r="C35" s="101" t="s">
        <v>512</v>
      </c>
      <c r="D35" s="101">
        <f t="shared" si="0"/>
        <v>327.74</v>
      </c>
      <c r="E35" s="123">
        <v>327.74</v>
      </c>
      <c r="F35" s="101"/>
      <c r="G35" s="101">
        <f t="shared" si="1"/>
        <v>791.54</v>
      </c>
      <c r="H35" s="123">
        <v>791.54</v>
      </c>
      <c r="I35" s="101"/>
    </row>
    <row r="36" spans="1:9">
      <c r="A36" s="101" t="str">
        <f>VLOOKUP(B36,Vertaaltabel!B:C,2,0)</f>
        <v>Contributie leden</v>
      </c>
      <c r="B36">
        <v>50000</v>
      </c>
      <c r="C36" s="101" t="s">
        <v>513</v>
      </c>
      <c r="D36" s="101">
        <f t="shared" si="0"/>
        <v>-50760.12</v>
      </c>
      <c r="E36" s="101"/>
      <c r="F36" s="123">
        <v>50760.12</v>
      </c>
      <c r="G36" s="101">
        <f t="shared" si="1"/>
        <v>-98797.21</v>
      </c>
      <c r="H36" s="101"/>
      <c r="I36" s="123">
        <v>98797.21</v>
      </c>
    </row>
    <row r="37" spans="1:9">
      <c r="A37" s="101" t="str">
        <f>VLOOKUP(B37,Vertaaltabel!B:C,2,0)</f>
        <v>Contributie leden</v>
      </c>
      <c r="B37">
        <v>50002</v>
      </c>
      <c r="C37" s="101" t="s">
        <v>514</v>
      </c>
      <c r="D37" s="101">
        <f t="shared" si="0"/>
        <v>-2181.52</v>
      </c>
      <c r="E37" s="101"/>
      <c r="F37" s="123">
        <v>2181.52</v>
      </c>
      <c r="G37" s="101">
        <f t="shared" si="1"/>
        <v>-1822.79</v>
      </c>
      <c r="H37" s="101"/>
      <c r="I37" s="123">
        <v>1822.79</v>
      </c>
    </row>
    <row r="38" spans="1:9">
      <c r="A38" s="101" t="str">
        <f>VLOOKUP(B38,Vertaaltabel!B:C,2,0)</f>
        <v>Subsidies NOC/NSF</v>
      </c>
      <c r="B38">
        <v>51001</v>
      </c>
      <c r="C38" s="101" t="s">
        <v>515</v>
      </c>
      <c r="D38" s="101">
        <f t="shared" si="0"/>
        <v>-11966.94</v>
      </c>
      <c r="E38" s="101"/>
      <c r="F38" s="123">
        <v>11966.94</v>
      </c>
      <c r="G38" s="101">
        <f t="shared" si="1"/>
        <v>0</v>
      </c>
      <c r="H38" s="101"/>
      <c r="I38" s="101"/>
    </row>
    <row r="39" spans="1:9">
      <c r="A39" s="101" t="str">
        <f>VLOOKUP(B39,Vertaaltabel!B:C,2,0)</f>
        <v>Versterken sportbonden</v>
      </c>
      <c r="B39">
        <v>51002</v>
      </c>
      <c r="C39" s="101" t="s">
        <v>516</v>
      </c>
      <c r="D39" s="101">
        <f t="shared" si="0"/>
        <v>946.91</v>
      </c>
      <c r="E39" s="123">
        <v>946.91</v>
      </c>
      <c r="F39" s="101"/>
      <c r="G39" s="101">
        <f t="shared" si="1"/>
        <v>6000</v>
      </c>
      <c r="H39" s="123">
        <v>6000</v>
      </c>
      <c r="I39" s="101"/>
    </row>
    <row r="40" spans="1:9">
      <c r="A40" s="101" t="str">
        <f>VLOOKUP(B40,Vertaaltabel!B:C,2,0)</f>
        <v>Kantoorkosten (algemeen)</v>
      </c>
      <c r="B40">
        <v>52000</v>
      </c>
      <c r="C40" s="101" t="s">
        <v>517</v>
      </c>
      <c r="D40" s="101">
        <f t="shared" si="0"/>
        <v>-1001.87</v>
      </c>
      <c r="E40" s="101"/>
      <c r="F40" s="123">
        <v>1001.87</v>
      </c>
      <c r="G40" s="101">
        <f t="shared" si="1"/>
        <v>-2156.1999999999998</v>
      </c>
      <c r="H40" s="101"/>
      <c r="I40" s="123">
        <v>2156.1999999999998</v>
      </c>
    </row>
    <row r="41" spans="1:9">
      <c r="A41" s="101" t="str">
        <f>VLOOKUP(B41,Vertaaltabel!B:C,2,0)</f>
        <v>Nationale wedst. Senioren</v>
      </c>
      <c r="B41">
        <v>60101</v>
      </c>
      <c r="C41" s="101" t="s">
        <v>200</v>
      </c>
      <c r="D41" s="101">
        <f t="shared" si="0"/>
        <v>817.61</v>
      </c>
      <c r="E41" s="123">
        <v>817.61</v>
      </c>
      <c r="F41" s="101"/>
      <c r="G41" s="101">
        <f t="shared" si="1"/>
        <v>35567.519999999997</v>
      </c>
      <c r="H41" s="123">
        <v>35567.519999999997</v>
      </c>
      <c r="I41" s="101"/>
    </row>
    <row r="42" spans="1:9">
      <c r="A42" s="101" t="str">
        <f>VLOOKUP(B42,Vertaaltabel!B:C,2,0)</f>
        <v>Nationale wedst. Senioren</v>
      </c>
      <c r="B42">
        <v>60102</v>
      </c>
      <c r="C42" s="101" t="s">
        <v>201</v>
      </c>
      <c r="D42" s="101">
        <f t="shared" si="0"/>
        <v>4132.2299999999996</v>
      </c>
      <c r="E42" s="123">
        <v>4132.2299999999996</v>
      </c>
      <c r="F42" s="101"/>
      <c r="G42" s="101">
        <f t="shared" si="1"/>
        <v>4132.2299999999996</v>
      </c>
      <c r="H42" s="123">
        <v>4132.2299999999996</v>
      </c>
      <c r="I42" s="101"/>
    </row>
    <row r="43" spans="1:9">
      <c r="A43" s="101" t="str">
        <f>VLOOKUP(B43,Vertaaltabel!B:C,2,0)</f>
        <v>Nationale Jeugdwedstrijden</v>
      </c>
      <c r="B43">
        <v>60103</v>
      </c>
      <c r="C43" s="101" t="s">
        <v>518</v>
      </c>
      <c r="D43" s="101">
        <f t="shared" si="0"/>
        <v>1453.51</v>
      </c>
      <c r="E43" s="123">
        <v>1453.51</v>
      </c>
      <c r="F43" s="101"/>
      <c r="G43" s="101">
        <f t="shared" si="1"/>
        <v>1243.18</v>
      </c>
      <c r="H43" s="123">
        <v>1243.18</v>
      </c>
      <c r="I43" s="101"/>
    </row>
    <row r="44" spans="1:9">
      <c r="A44" s="101" t="str">
        <f>VLOOKUP(B44,Vertaaltabel!B:C,2,0)</f>
        <v>Nationale Jeugdwedstrijden</v>
      </c>
      <c r="B44">
        <v>60104</v>
      </c>
      <c r="C44" s="101" t="s">
        <v>519</v>
      </c>
      <c r="D44" s="101">
        <f t="shared" si="0"/>
        <v>1427.45</v>
      </c>
      <c r="E44" s="123">
        <v>1427.45</v>
      </c>
      <c r="F44" s="101"/>
      <c r="G44" s="101">
        <f t="shared" si="1"/>
        <v>488.18</v>
      </c>
      <c r="H44" s="123">
        <v>488.18</v>
      </c>
      <c r="I44" s="101"/>
    </row>
    <row r="45" spans="1:9">
      <c r="A45" s="101" t="str">
        <f>VLOOKUP(B45,Vertaaltabel!B:C,2,0)</f>
        <v>Nationale Jeugdwedstrijden</v>
      </c>
      <c r="B45">
        <v>60105</v>
      </c>
      <c r="C45" s="101" t="s">
        <v>204</v>
      </c>
      <c r="D45" s="101">
        <f t="shared" si="0"/>
        <v>768.78</v>
      </c>
      <c r="E45" s="123">
        <v>768.78</v>
      </c>
      <c r="F45" s="101"/>
      <c r="G45" s="101">
        <f t="shared" si="1"/>
        <v>1123.3900000000001</v>
      </c>
      <c r="H45" s="123">
        <v>1123.3900000000001</v>
      </c>
      <c r="I45" s="101"/>
    </row>
    <row r="46" spans="1:9">
      <c r="A46" s="101" t="str">
        <f>VLOOKUP(B46,Vertaaltabel!B:C,2,0)</f>
        <v>Nationale Jeugdwedstrijden</v>
      </c>
      <c r="B46">
        <v>60106</v>
      </c>
      <c r="C46" s="101" t="s">
        <v>520</v>
      </c>
      <c r="D46" s="101">
        <f t="shared" si="0"/>
        <v>363.09</v>
      </c>
      <c r="E46" s="123">
        <v>363.09</v>
      </c>
      <c r="F46" s="101"/>
      <c r="G46" s="101">
        <f t="shared" si="1"/>
        <v>-73.55</v>
      </c>
      <c r="H46" s="101"/>
      <c r="I46" s="123">
        <v>73.55</v>
      </c>
    </row>
    <row r="47" spans="1:9">
      <c r="A47" s="101" t="str">
        <f>VLOOKUP(B47,Vertaaltabel!B:C,2,0)</f>
        <v>Nationale wedst. Senioren</v>
      </c>
      <c r="B47">
        <v>60107</v>
      </c>
      <c r="C47" s="101" t="s">
        <v>251</v>
      </c>
      <c r="D47" s="101">
        <f t="shared" si="0"/>
        <v>1492.97</v>
      </c>
      <c r="E47" s="123">
        <v>1492.97</v>
      </c>
      <c r="F47" s="101"/>
      <c r="G47" s="101">
        <f t="shared" si="1"/>
        <v>387.9</v>
      </c>
      <c r="H47" s="123">
        <v>387.9</v>
      </c>
      <c r="I47" s="101"/>
    </row>
    <row r="48" spans="1:9">
      <c r="A48" s="101" t="str">
        <f>VLOOKUP(B48,Vertaaltabel!B:C,2,0)</f>
        <v>Nationale wedst. Senioren</v>
      </c>
      <c r="B48">
        <v>60109</v>
      </c>
      <c r="C48" s="101" t="s">
        <v>521</v>
      </c>
      <c r="D48" s="101">
        <f t="shared" si="0"/>
        <v>0</v>
      </c>
      <c r="E48" s="101"/>
      <c r="F48" s="101"/>
      <c r="G48" s="101">
        <f t="shared" si="1"/>
        <v>1135</v>
      </c>
      <c r="H48" s="123">
        <v>1135</v>
      </c>
      <c r="I48" s="101"/>
    </row>
    <row r="49" spans="1:9">
      <c r="A49" s="101" t="str">
        <f>VLOOKUP(B49,Vertaaltabel!B:C,2,0)</f>
        <v>Opbrengsten NC</v>
      </c>
      <c r="B49">
        <v>60201</v>
      </c>
      <c r="C49" s="101" t="s">
        <v>522</v>
      </c>
      <c r="D49" s="101">
        <f t="shared" si="0"/>
        <v>-661.22</v>
      </c>
      <c r="E49" s="101"/>
      <c r="F49" s="123">
        <v>661.22</v>
      </c>
      <c r="G49" s="101">
        <f t="shared" si="1"/>
        <v>6047.58</v>
      </c>
      <c r="H49" s="123">
        <v>6047.58</v>
      </c>
      <c r="I49" s="101"/>
    </row>
    <row r="50" spans="1:9">
      <c r="A50" s="101" t="str">
        <f>VLOOKUP(B50,Vertaaltabel!B:C,2,0)</f>
        <v>Nationale wedst. Senioren</v>
      </c>
      <c r="B50">
        <v>60202</v>
      </c>
      <c r="C50" s="101" t="s">
        <v>252</v>
      </c>
      <c r="D50" s="101">
        <f t="shared" si="0"/>
        <v>806.36</v>
      </c>
      <c r="E50" s="123">
        <v>806.36</v>
      </c>
      <c r="F50" s="101"/>
      <c r="G50" s="101">
        <f t="shared" si="1"/>
        <v>348.46</v>
      </c>
      <c r="H50" s="123">
        <v>348.46</v>
      </c>
      <c r="I50" s="101"/>
    </row>
    <row r="51" spans="1:9">
      <c r="A51" s="101" t="str">
        <f>VLOOKUP(B51,Vertaaltabel!B:C,2,0)</f>
        <v>Nationale Jeugdwedstrijden</v>
      </c>
      <c r="B51">
        <v>60301</v>
      </c>
      <c r="C51" s="101" t="s">
        <v>523</v>
      </c>
      <c r="D51" s="101">
        <f t="shared" si="0"/>
        <v>47.52</v>
      </c>
      <c r="E51" s="123">
        <v>47.52</v>
      </c>
      <c r="F51" s="101"/>
      <c r="G51" s="101">
        <f t="shared" si="1"/>
        <v>921.43</v>
      </c>
      <c r="H51" s="123">
        <v>921.43</v>
      </c>
      <c r="I51" s="101"/>
    </row>
    <row r="52" spans="1:9">
      <c r="A52" s="101" t="str">
        <f>VLOOKUP(B52,Vertaaltabel!B:C,2,0)</f>
        <v>Nationale Jeugdwedstrijden</v>
      </c>
      <c r="B52">
        <v>60302</v>
      </c>
      <c r="C52" s="101" t="s">
        <v>209</v>
      </c>
      <c r="D52" s="101">
        <f t="shared" si="0"/>
        <v>521.74</v>
      </c>
      <c r="E52" s="123">
        <v>521.74</v>
      </c>
      <c r="F52" s="101"/>
      <c r="G52" s="101">
        <f t="shared" si="1"/>
        <v>544.63</v>
      </c>
      <c r="H52" s="123">
        <v>544.63</v>
      </c>
      <c r="I52" s="101"/>
    </row>
    <row r="53" spans="1:9">
      <c r="A53" s="101" t="str">
        <f>VLOOKUP(B53,Vertaaltabel!B:C,2,0)</f>
        <v>Nationale Jeugdwedstrijden</v>
      </c>
      <c r="B53">
        <v>60303</v>
      </c>
      <c r="C53" s="101" t="s">
        <v>210</v>
      </c>
      <c r="D53" s="101">
        <f t="shared" si="0"/>
        <v>612.99</v>
      </c>
      <c r="E53" s="123">
        <v>612.99</v>
      </c>
      <c r="F53" s="101"/>
      <c r="G53" s="101">
        <f t="shared" si="1"/>
        <v>57.02</v>
      </c>
      <c r="H53" s="123">
        <v>57.02</v>
      </c>
      <c r="I53" s="101"/>
    </row>
    <row r="54" spans="1:9">
      <c r="A54" s="101" t="str">
        <f>VLOOKUP(B54,Vertaaltabel!B:C,2,0)</f>
        <v>Nationale Jeugdwedstrijden</v>
      </c>
      <c r="B54">
        <v>60304</v>
      </c>
      <c r="C54" s="101" t="s">
        <v>211</v>
      </c>
      <c r="D54" s="101">
        <f t="shared" si="0"/>
        <v>37.19</v>
      </c>
      <c r="E54" s="123">
        <v>37.19</v>
      </c>
      <c r="F54" s="101"/>
      <c r="G54" s="101">
        <f t="shared" si="1"/>
        <v>32.229999999999997</v>
      </c>
      <c r="H54" s="123">
        <v>32.229999999999997</v>
      </c>
      <c r="I54" s="101"/>
    </row>
    <row r="55" spans="1:9">
      <c r="A55" s="101" t="str">
        <f>VLOOKUP(B55,Vertaaltabel!B:C,2,0)</f>
        <v>Nationale wedst. Senioren</v>
      </c>
      <c r="B55">
        <v>60401</v>
      </c>
      <c r="C55" s="101" t="s">
        <v>253</v>
      </c>
      <c r="D55" s="101">
        <f t="shared" si="0"/>
        <v>537.5</v>
      </c>
      <c r="E55" s="123">
        <v>537.5</v>
      </c>
      <c r="F55" s="101"/>
      <c r="G55" s="101">
        <f t="shared" si="1"/>
        <v>1725.08</v>
      </c>
      <c r="H55" s="123">
        <v>1725.08</v>
      </c>
      <c r="I55" s="101"/>
    </row>
    <row r="56" spans="1:9">
      <c r="A56" s="101" t="str">
        <f>VLOOKUP(B56,Vertaaltabel!B:C,2,0)</f>
        <v>Nationale Jeugdwedstrijden</v>
      </c>
      <c r="B56">
        <v>60403</v>
      </c>
      <c r="C56" s="101" t="s">
        <v>254</v>
      </c>
      <c r="D56" s="101">
        <f t="shared" si="0"/>
        <v>0</v>
      </c>
      <c r="E56" s="101"/>
      <c r="F56" s="101"/>
      <c r="G56" s="101">
        <f t="shared" si="1"/>
        <v>53.31</v>
      </c>
      <c r="H56" s="123">
        <v>53.31</v>
      </c>
      <c r="I56" s="101"/>
    </row>
    <row r="57" spans="1:9">
      <c r="A57" s="101" t="str">
        <f>VLOOKUP(B57,Vertaaltabel!B:C,2,0)</f>
        <v>Nationale Jeugdwedstrijden</v>
      </c>
      <c r="B57">
        <v>60404</v>
      </c>
      <c r="C57" s="101" t="s">
        <v>212</v>
      </c>
      <c r="D57" s="101">
        <f t="shared" si="0"/>
        <v>246.72</v>
      </c>
      <c r="E57" s="123">
        <v>246.72</v>
      </c>
      <c r="F57" s="101"/>
      <c r="G57" s="101">
        <f t="shared" si="1"/>
        <v>115.29</v>
      </c>
      <c r="H57" s="123">
        <v>115.29</v>
      </c>
      <c r="I57" s="101"/>
    </row>
    <row r="58" spans="1:9">
      <c r="A58" s="101" t="str">
        <f>VLOOKUP(B58,Vertaaltabel!B:C,2,0)</f>
        <v>Nationale Jeugdwedstrijden</v>
      </c>
      <c r="B58">
        <v>60405</v>
      </c>
      <c r="C58" s="101" t="s">
        <v>524</v>
      </c>
      <c r="D58" s="101">
        <f t="shared" si="0"/>
        <v>0</v>
      </c>
      <c r="E58" s="101"/>
      <c r="F58" s="101"/>
      <c r="G58" s="101">
        <f t="shared" si="1"/>
        <v>130.16</v>
      </c>
      <c r="H58" s="123">
        <v>130.16</v>
      </c>
      <c r="I58" s="101"/>
    </row>
    <row r="59" spans="1:9">
      <c r="A59" s="101" t="str">
        <f>VLOOKUP(B59,Vertaaltabel!B:C,2,0)</f>
        <v>Nationale Jeugdwedstrijden</v>
      </c>
      <c r="B59">
        <v>60602</v>
      </c>
      <c r="C59" s="101" t="s">
        <v>525</v>
      </c>
      <c r="D59" s="101">
        <f t="shared" si="0"/>
        <v>0</v>
      </c>
      <c r="E59" s="101"/>
      <c r="F59" s="101"/>
      <c r="G59" s="101">
        <f t="shared" si="1"/>
        <v>119.21</v>
      </c>
      <c r="H59" s="123">
        <v>119.21</v>
      </c>
      <c r="I59" s="101"/>
    </row>
    <row r="60" spans="1:9">
      <c r="A60" s="101" t="str">
        <f>VLOOKUP(B60,Vertaaltabel!B:C,2,0)</f>
        <v>Schooldammen</v>
      </c>
      <c r="B60">
        <v>60604</v>
      </c>
      <c r="C60" s="101" t="s">
        <v>526</v>
      </c>
      <c r="D60" s="101">
        <f t="shared" si="0"/>
        <v>2425.91</v>
      </c>
      <c r="E60" s="123">
        <v>2425.91</v>
      </c>
      <c r="F60" s="101"/>
      <c r="G60" s="101">
        <f t="shared" si="1"/>
        <v>1656.02</v>
      </c>
      <c r="H60" s="123">
        <v>1656.02</v>
      </c>
      <c r="I60" s="101"/>
    </row>
    <row r="61" spans="1:9">
      <c r="A61" s="101" t="str">
        <f>VLOOKUP(B61,Vertaaltabel!B:C,2,0)</f>
        <v>Het Damspel</v>
      </c>
      <c r="B61">
        <v>60700</v>
      </c>
      <c r="C61" s="101" t="s">
        <v>527</v>
      </c>
      <c r="D61" s="101">
        <f t="shared" si="0"/>
        <v>2959.7</v>
      </c>
      <c r="E61" s="123">
        <v>2959.7</v>
      </c>
      <c r="F61" s="101"/>
      <c r="G61" s="101">
        <f t="shared" si="1"/>
        <v>16427.189999999999</v>
      </c>
      <c r="H61" s="123">
        <v>16427.189999999999</v>
      </c>
      <c r="I61" s="101"/>
    </row>
    <row r="62" spans="1:9">
      <c r="A62" s="101" t="str">
        <f>VLOOKUP(B62,Vertaaltabel!B:C,2,0)</f>
        <v>Het Damspel</v>
      </c>
      <c r="B62">
        <v>60701</v>
      </c>
      <c r="C62" s="101" t="s">
        <v>215</v>
      </c>
      <c r="D62" s="101">
        <f t="shared" si="0"/>
        <v>6643.19</v>
      </c>
      <c r="E62" s="123">
        <v>6643.19</v>
      </c>
      <c r="F62" s="101"/>
      <c r="G62" s="101">
        <f t="shared" si="1"/>
        <v>0</v>
      </c>
      <c r="H62" s="101"/>
      <c r="I62" s="101"/>
    </row>
    <row r="63" spans="1:9">
      <c r="A63" s="101" t="str">
        <f>VLOOKUP(B63,Vertaaltabel!B:C,2,0)</f>
        <v>Het Damspel</v>
      </c>
      <c r="B63">
        <v>60702</v>
      </c>
      <c r="C63" s="101" t="s">
        <v>216</v>
      </c>
      <c r="D63" s="101">
        <f t="shared" si="0"/>
        <v>1723.67</v>
      </c>
      <c r="E63" s="123">
        <v>1723.67</v>
      </c>
      <c r="F63" s="101"/>
      <c r="G63" s="101">
        <f t="shared" si="1"/>
        <v>3375</v>
      </c>
      <c r="H63" s="123">
        <v>3375</v>
      </c>
      <c r="I63" s="101"/>
    </row>
    <row r="64" spans="1:9">
      <c r="A64" s="101" t="str">
        <f>VLOOKUP(B64,Vertaaltabel!B:C,2,0)</f>
        <v>Internet</v>
      </c>
      <c r="B64">
        <v>60900</v>
      </c>
      <c r="C64" s="101" t="s">
        <v>528</v>
      </c>
      <c r="D64" s="101">
        <f t="shared" si="0"/>
        <v>4176.8999999999996</v>
      </c>
      <c r="E64" s="123">
        <v>4176.8999999999996</v>
      </c>
      <c r="F64" s="101"/>
      <c r="G64" s="101">
        <f t="shared" si="1"/>
        <v>743.76</v>
      </c>
      <c r="H64" s="123">
        <v>743.76</v>
      </c>
      <c r="I64" s="101"/>
    </row>
    <row r="65" spans="1:9">
      <c r="A65" s="101" t="str">
        <f>VLOOKUP(B65,Vertaaltabel!B:C,2,0)</f>
        <v>Topsport</v>
      </c>
      <c r="B65">
        <v>61001</v>
      </c>
      <c r="C65" s="101" t="s">
        <v>217</v>
      </c>
      <c r="D65" s="101">
        <f t="shared" si="0"/>
        <v>12031.81</v>
      </c>
      <c r="E65" s="123">
        <v>12031.81</v>
      </c>
      <c r="F65" s="101"/>
      <c r="G65" s="101">
        <f t="shared" si="1"/>
        <v>27551.65</v>
      </c>
      <c r="H65" s="123">
        <v>27551.65</v>
      </c>
      <c r="I65" s="101"/>
    </row>
    <row r="66" spans="1:9">
      <c r="A66" s="101" t="str">
        <f>VLOOKUP(B66,Vertaaltabel!B:C,2,0)</f>
        <v>Training CJT,CAT,CPT en CMT</v>
      </c>
      <c r="B66">
        <v>61101</v>
      </c>
      <c r="C66" s="101" t="s">
        <v>218</v>
      </c>
      <c r="D66" s="101">
        <f t="shared" si="0"/>
        <v>120</v>
      </c>
      <c r="E66" s="123">
        <v>120</v>
      </c>
      <c r="F66" s="101"/>
      <c r="G66" s="101">
        <f t="shared" si="1"/>
        <v>465</v>
      </c>
      <c r="H66" s="123">
        <v>465</v>
      </c>
      <c r="I66" s="101"/>
    </row>
    <row r="67" spans="1:9">
      <c r="A67" s="101" t="str">
        <f>VLOOKUP(B67,Vertaaltabel!B:C,2,0)</f>
        <v>Training CJT,CAT,CPT en CMT</v>
      </c>
      <c r="B67">
        <v>61102</v>
      </c>
      <c r="C67" s="101" t="s">
        <v>219</v>
      </c>
      <c r="D67" s="101">
        <f t="shared" si="0"/>
        <v>1140.75</v>
      </c>
      <c r="E67" s="123">
        <v>1140.75</v>
      </c>
      <c r="F67" s="101"/>
      <c r="G67" s="101">
        <f t="shared" si="1"/>
        <v>180</v>
      </c>
      <c r="H67" s="123">
        <v>180</v>
      </c>
      <c r="I67" s="101"/>
    </row>
    <row r="68" spans="1:9">
      <c r="A68" s="101" t="str">
        <f>VLOOKUP(B68,Vertaaltabel!B:C,2,0)</f>
        <v>Training CJT,CAT,CPT en CMT</v>
      </c>
      <c r="B68">
        <v>61103</v>
      </c>
      <c r="C68" s="101" t="s">
        <v>220</v>
      </c>
      <c r="D68" s="101">
        <f t="shared" ref="D68:D113" si="2">E68+F68*-1</f>
        <v>4048.02</v>
      </c>
      <c r="E68" s="123">
        <v>4048.02</v>
      </c>
      <c r="F68" s="101"/>
      <c r="G68" s="101">
        <f t="shared" ref="G68:G113" si="3">H68+I68*-1</f>
        <v>135</v>
      </c>
      <c r="H68" s="123">
        <v>135</v>
      </c>
      <c r="I68" s="101"/>
    </row>
    <row r="69" spans="1:9">
      <c r="A69" s="101" t="str">
        <f>VLOOKUP(B69,Vertaaltabel!B:C,2,0)</f>
        <v>Training CJT,CAT,CPT en CMT</v>
      </c>
      <c r="B69">
        <v>61104</v>
      </c>
      <c r="C69" s="101" t="s">
        <v>221</v>
      </c>
      <c r="D69" s="101">
        <f t="shared" si="2"/>
        <v>780</v>
      </c>
      <c r="E69" s="123">
        <v>780</v>
      </c>
      <c r="F69" s="101"/>
      <c r="G69" s="101">
        <f t="shared" si="3"/>
        <v>900</v>
      </c>
      <c r="H69" s="123">
        <v>900</v>
      </c>
      <c r="I69" s="101"/>
    </row>
    <row r="70" spans="1:9">
      <c r="A70" s="101" t="str">
        <f>VLOOKUP(B70,Vertaaltabel!B:C,2,0)</f>
        <v>Internationale Jeugdwedst</v>
      </c>
      <c r="B70">
        <v>61109</v>
      </c>
      <c r="C70" s="101" t="s">
        <v>529</v>
      </c>
      <c r="D70" s="101">
        <f t="shared" si="2"/>
        <v>2000</v>
      </c>
      <c r="E70" s="123">
        <v>2000</v>
      </c>
      <c r="F70" s="101"/>
      <c r="G70" s="101">
        <f t="shared" si="3"/>
        <v>625.79999999999995</v>
      </c>
      <c r="H70" s="123">
        <v>625.79999999999995</v>
      </c>
      <c r="I70" s="101"/>
    </row>
    <row r="71" spans="1:9">
      <c r="A71" s="101" t="str">
        <f>VLOOKUP(B71,Vertaaltabel!B:C,2,0)</f>
        <v>Internationale wedst Senioren</v>
      </c>
      <c r="B71">
        <v>61201</v>
      </c>
      <c r="C71" s="101" t="s">
        <v>530</v>
      </c>
      <c r="D71" s="101">
        <f t="shared" si="2"/>
        <v>14841</v>
      </c>
      <c r="E71" s="123">
        <v>14841</v>
      </c>
      <c r="F71" s="101"/>
      <c r="G71" s="101">
        <f t="shared" si="3"/>
        <v>1021.55</v>
      </c>
      <c r="H71" s="123">
        <v>1021.55</v>
      </c>
      <c r="I71" s="101"/>
    </row>
    <row r="72" spans="1:9">
      <c r="A72" s="101" t="str">
        <f>VLOOKUP(B72,Vertaaltabel!B:C,2,0)</f>
        <v>Internationale wedst Senioren</v>
      </c>
      <c r="B72">
        <v>61202</v>
      </c>
      <c r="C72" s="101" t="s">
        <v>531</v>
      </c>
      <c r="D72" s="101">
        <f t="shared" si="2"/>
        <v>2000.48</v>
      </c>
      <c r="E72" s="123">
        <v>2000.48</v>
      </c>
      <c r="F72" s="101"/>
      <c r="G72" s="101">
        <f t="shared" si="3"/>
        <v>0</v>
      </c>
      <c r="H72" s="101"/>
      <c r="I72" s="101"/>
    </row>
    <row r="73" spans="1:9">
      <c r="A73" s="101" t="str">
        <f>VLOOKUP(B73,Vertaaltabel!B:C,2,0)</f>
        <v>Internationale wedst Senioren</v>
      </c>
      <c r="B73">
        <v>61203</v>
      </c>
      <c r="C73" s="101" t="s">
        <v>532</v>
      </c>
      <c r="D73" s="101">
        <f t="shared" si="2"/>
        <v>15196.2</v>
      </c>
      <c r="E73" s="123">
        <v>15196.2</v>
      </c>
      <c r="F73" s="101"/>
      <c r="G73" s="101">
        <f t="shared" si="3"/>
        <v>17787.22</v>
      </c>
      <c r="H73" s="123">
        <v>17787.22</v>
      </c>
      <c r="I73" s="101"/>
    </row>
    <row r="74" spans="1:9">
      <c r="A74" s="101" t="str">
        <f>VLOOKUP(B74,Vertaaltabel!B:C,2,0)</f>
        <v>Internationale wedst Senioren</v>
      </c>
      <c r="B74">
        <v>61204</v>
      </c>
      <c r="C74" s="101" t="s">
        <v>533</v>
      </c>
      <c r="D74" s="101">
        <f t="shared" si="2"/>
        <v>1485</v>
      </c>
      <c r="E74" s="123">
        <v>1485</v>
      </c>
      <c r="F74" s="101"/>
      <c r="G74" s="101">
        <f t="shared" si="3"/>
        <v>1300</v>
      </c>
      <c r="H74" s="123">
        <v>1300</v>
      </c>
      <c r="I74" s="101"/>
    </row>
    <row r="75" spans="1:9">
      <c r="A75" s="101" t="str">
        <f>VLOOKUP(B75,Vertaaltabel!B:C,2,0)</f>
        <v>Internationale wedst Senioren</v>
      </c>
      <c r="B75">
        <v>61205</v>
      </c>
      <c r="C75" s="101" t="s">
        <v>534</v>
      </c>
      <c r="D75" s="101">
        <f t="shared" si="2"/>
        <v>1838.47</v>
      </c>
      <c r="E75" s="123">
        <v>1838.47</v>
      </c>
      <c r="F75" s="101"/>
      <c r="G75" s="101">
        <f t="shared" si="3"/>
        <v>0</v>
      </c>
      <c r="H75" s="101"/>
      <c r="I75" s="101"/>
    </row>
    <row r="76" spans="1:9">
      <c r="A76" s="101" t="str">
        <f>VLOOKUP(B76,Vertaaltabel!B:C,2,0)</f>
        <v>Internationale Jeugdwedst</v>
      </c>
      <c r="B76">
        <v>61301</v>
      </c>
      <c r="C76" s="101" t="s">
        <v>535</v>
      </c>
      <c r="D76" s="101">
        <f t="shared" si="2"/>
        <v>38569.86</v>
      </c>
      <c r="E76" s="123">
        <v>38569.86</v>
      </c>
      <c r="F76" s="101"/>
      <c r="G76" s="101">
        <f t="shared" si="3"/>
        <v>35720.519999999997</v>
      </c>
      <c r="H76" s="123">
        <v>35720.519999999997</v>
      </c>
      <c r="I76" s="101"/>
    </row>
    <row r="77" spans="1:9">
      <c r="A77" s="101" t="str">
        <f>VLOOKUP(B77,Vertaaltabel!B:C,2,0)</f>
        <v>Internationale Jeugdwedst</v>
      </c>
      <c r="B77">
        <v>61305</v>
      </c>
      <c r="C77" s="101" t="s">
        <v>536</v>
      </c>
      <c r="D77" s="101">
        <f t="shared" si="2"/>
        <v>12297</v>
      </c>
      <c r="E77" s="123">
        <v>12297</v>
      </c>
      <c r="F77" s="101"/>
      <c r="G77" s="101">
        <f t="shared" si="3"/>
        <v>29909</v>
      </c>
      <c r="H77" s="123">
        <v>29909</v>
      </c>
      <c r="I77" s="101"/>
    </row>
    <row r="78" spans="1:9">
      <c r="A78" s="101" t="str">
        <f>VLOOKUP(B78,Vertaaltabel!B:C,2,0)</f>
        <v>Topsport</v>
      </c>
      <c r="B78">
        <v>61401</v>
      </c>
      <c r="C78" s="101" t="s">
        <v>537</v>
      </c>
      <c r="D78" s="101">
        <f t="shared" si="2"/>
        <v>0</v>
      </c>
      <c r="E78" s="101"/>
      <c r="F78" s="101"/>
      <c r="G78" s="101">
        <f t="shared" si="3"/>
        <v>5000</v>
      </c>
      <c r="H78" s="123">
        <v>5000</v>
      </c>
      <c r="I78" s="101"/>
    </row>
    <row r="79" spans="1:9">
      <c r="A79" s="101" t="str">
        <f>VLOOKUP(B79,Vertaaltabel!B:C,2,0)</f>
        <v>Kantoorkosten (algemeen)</v>
      </c>
      <c r="B79">
        <v>66000</v>
      </c>
      <c r="C79" s="101" t="s">
        <v>538</v>
      </c>
      <c r="D79" s="101">
        <f t="shared" si="2"/>
        <v>4522.1000000000004</v>
      </c>
      <c r="E79" s="123">
        <v>4522.1000000000004</v>
      </c>
      <c r="F79" s="101"/>
      <c r="G79" s="101">
        <f t="shared" si="3"/>
        <v>0</v>
      </c>
      <c r="H79" s="101"/>
      <c r="I79" s="101"/>
    </row>
    <row r="80" spans="1:9">
      <c r="A80" s="101" t="str">
        <f>VLOOKUP(B80,Vertaaltabel!B:C,2,0)</f>
        <v>Projecten en VO</v>
      </c>
      <c r="B80">
        <v>67000</v>
      </c>
      <c r="C80" s="101" t="s">
        <v>229</v>
      </c>
      <c r="D80" s="101">
        <f t="shared" si="2"/>
        <v>0</v>
      </c>
      <c r="E80" s="101"/>
      <c r="F80" s="101"/>
      <c r="G80" s="101">
        <f t="shared" si="3"/>
        <v>50</v>
      </c>
      <c r="H80" s="123">
        <v>50</v>
      </c>
      <c r="I80" s="101"/>
    </row>
    <row r="81" spans="1:9">
      <c r="A81" s="101" t="str">
        <f>VLOOKUP(B81,Vertaaltabel!B:C,2,0)</f>
        <v>Subsidies NOC/NSF</v>
      </c>
      <c r="B81">
        <v>70001</v>
      </c>
      <c r="C81" s="101" t="s">
        <v>539</v>
      </c>
      <c r="D81" s="101">
        <f t="shared" si="2"/>
        <v>0</v>
      </c>
      <c r="E81" s="101"/>
      <c r="F81" s="101"/>
      <c r="G81" s="101">
        <f t="shared" si="3"/>
        <v>-11493.26</v>
      </c>
      <c r="H81" s="101"/>
      <c r="I81" s="123">
        <v>11493.26</v>
      </c>
    </row>
    <row r="82" spans="1:9">
      <c r="A82" s="101" t="str">
        <f>VLOOKUP(B82,Vertaaltabel!B:C,2,0)</f>
        <v>Subsidies NOC/NSF</v>
      </c>
      <c r="B82">
        <v>70005</v>
      </c>
      <c r="C82" s="101" t="s">
        <v>230</v>
      </c>
      <c r="D82" s="101">
        <f t="shared" si="2"/>
        <v>-47128.25</v>
      </c>
      <c r="E82" s="101"/>
      <c r="F82" s="123">
        <v>47128.25</v>
      </c>
      <c r="G82" s="101">
        <f t="shared" si="3"/>
        <v>-256213</v>
      </c>
      <c r="H82" s="101"/>
      <c r="I82" s="123">
        <v>256213</v>
      </c>
    </row>
    <row r="83" spans="1:9">
      <c r="A83" s="101" t="str">
        <f>VLOOKUP(B83,Vertaaltabel!B:C,2,0)</f>
        <v>Subsidies NOC/NSF</v>
      </c>
      <c r="B83">
        <v>70008</v>
      </c>
      <c r="C83" s="101" t="s">
        <v>231</v>
      </c>
      <c r="D83" s="101">
        <f t="shared" si="2"/>
        <v>0</v>
      </c>
      <c r="E83" s="101"/>
      <c r="F83" s="101"/>
      <c r="G83" s="101">
        <f t="shared" si="3"/>
        <v>-36761</v>
      </c>
      <c r="H83" s="101"/>
      <c r="I83" s="123">
        <v>36761</v>
      </c>
    </row>
    <row r="84" spans="1:9">
      <c r="A84" s="101" t="str">
        <f>VLOOKUP(B84,Vertaaltabel!B:C,2,0)</f>
        <v>Nationale wedst. Senioren</v>
      </c>
      <c r="B84">
        <v>70101</v>
      </c>
      <c r="C84" s="101" t="s">
        <v>540</v>
      </c>
      <c r="D84" s="101">
        <f t="shared" si="2"/>
        <v>-1800</v>
      </c>
      <c r="E84" s="101"/>
      <c r="F84" s="123">
        <v>1800</v>
      </c>
      <c r="G84" s="101">
        <f t="shared" si="3"/>
        <v>182.06</v>
      </c>
      <c r="H84" s="123">
        <v>182.06</v>
      </c>
      <c r="I84" s="101"/>
    </row>
    <row r="85" spans="1:9">
      <c r="A85" s="101" t="str">
        <f>VLOOKUP(B85,Vertaaltabel!B:C,2,0)</f>
        <v>Nationale Jeugdwedstrijden</v>
      </c>
      <c r="B85">
        <v>70104</v>
      </c>
      <c r="C85" s="101" t="s">
        <v>541</v>
      </c>
      <c r="D85" s="101">
        <f t="shared" si="2"/>
        <v>-250</v>
      </c>
      <c r="E85" s="101"/>
      <c r="F85" s="123">
        <v>250</v>
      </c>
      <c r="G85" s="101">
        <f t="shared" si="3"/>
        <v>0</v>
      </c>
      <c r="H85" s="101"/>
      <c r="I85" s="101"/>
    </row>
    <row r="86" spans="1:9">
      <c r="A86" s="101" t="str">
        <f>VLOOKUP(B86,Vertaaltabel!B:C,2,0)</f>
        <v>Nationale Jeugdwedstrijden</v>
      </c>
      <c r="B86">
        <v>70106</v>
      </c>
      <c r="C86" s="101" t="s">
        <v>542</v>
      </c>
      <c r="D86" s="101">
        <f t="shared" si="2"/>
        <v>-380</v>
      </c>
      <c r="E86" s="101"/>
      <c r="F86" s="123">
        <v>380</v>
      </c>
      <c r="G86" s="101">
        <f t="shared" si="3"/>
        <v>0</v>
      </c>
      <c r="H86" s="101"/>
      <c r="I86" s="101"/>
    </row>
    <row r="87" spans="1:9">
      <c r="A87" s="101" t="str">
        <f>VLOOKUP(B87,Vertaaltabel!B:C,2,0)</f>
        <v>Nationale Jeugdwedstrijden</v>
      </c>
      <c r="B87">
        <v>70107</v>
      </c>
      <c r="C87" s="101" t="s">
        <v>543</v>
      </c>
      <c r="D87" s="101">
        <f t="shared" si="2"/>
        <v>-997</v>
      </c>
      <c r="E87" s="101"/>
      <c r="F87" s="123">
        <v>997</v>
      </c>
      <c r="G87" s="101">
        <f t="shared" si="3"/>
        <v>0</v>
      </c>
      <c r="H87" s="101"/>
      <c r="I87" s="101"/>
    </row>
    <row r="88" spans="1:9">
      <c r="A88" s="101" t="str">
        <f>VLOOKUP(B88,Vertaaltabel!B:C,2,0)</f>
        <v>Opbrengsten NC</v>
      </c>
      <c r="B88">
        <v>70201</v>
      </c>
      <c r="C88" s="101" t="s">
        <v>544</v>
      </c>
      <c r="D88" s="101">
        <f t="shared" si="2"/>
        <v>0</v>
      </c>
      <c r="E88" s="101"/>
      <c r="F88" s="101"/>
      <c r="G88" s="101">
        <f t="shared" si="3"/>
        <v>-18285.87</v>
      </c>
      <c r="H88" s="101"/>
      <c r="I88" s="123">
        <v>18285.87</v>
      </c>
    </row>
    <row r="89" spans="1:9">
      <c r="A89" s="101" t="str">
        <f>VLOOKUP(B89,Vertaaltabel!B:C,2,0)</f>
        <v>Nationale Jeugdwedstrijden</v>
      </c>
      <c r="B89">
        <v>70303</v>
      </c>
      <c r="C89" s="101" t="s">
        <v>545</v>
      </c>
      <c r="D89" s="101">
        <f t="shared" si="2"/>
        <v>-200</v>
      </c>
      <c r="E89" s="101"/>
      <c r="F89" s="123">
        <v>200</v>
      </c>
      <c r="G89" s="101">
        <f t="shared" si="3"/>
        <v>0</v>
      </c>
      <c r="H89" s="101"/>
      <c r="I89" s="101"/>
    </row>
    <row r="90" spans="1:9">
      <c r="A90" s="101" t="str">
        <f>VLOOKUP(B90,Vertaaltabel!B:C,2,0)</f>
        <v>Nationale wedst. Senioren</v>
      </c>
      <c r="B90">
        <v>70401</v>
      </c>
      <c r="C90" s="101" t="s">
        <v>546</v>
      </c>
      <c r="D90" s="101">
        <f t="shared" si="2"/>
        <v>-1388.52</v>
      </c>
      <c r="E90" s="101"/>
      <c r="F90" s="123">
        <v>1388.52</v>
      </c>
      <c r="G90" s="101">
        <f t="shared" si="3"/>
        <v>-1487.7</v>
      </c>
      <c r="H90" s="101"/>
      <c r="I90" s="123">
        <v>1487.7</v>
      </c>
    </row>
    <row r="91" spans="1:9">
      <c r="A91" s="101" t="str">
        <f>VLOOKUP(B91,Vertaaltabel!B:C,2,0)</f>
        <v>Nationale Jeugdwedstrijden</v>
      </c>
      <c r="B91">
        <v>70603</v>
      </c>
      <c r="C91" s="101" t="s">
        <v>547</v>
      </c>
      <c r="D91" s="101">
        <f t="shared" si="2"/>
        <v>262.06</v>
      </c>
      <c r="E91" s="123">
        <v>262.06</v>
      </c>
      <c r="F91" s="101"/>
      <c r="G91" s="101">
        <f t="shared" si="3"/>
        <v>0</v>
      </c>
      <c r="H91" s="101"/>
      <c r="I91" s="101"/>
    </row>
    <row r="92" spans="1:9">
      <c r="A92" s="101" t="str">
        <f>VLOOKUP(B92,Vertaaltabel!B:C,2,0)</f>
        <v>Het Damspel</v>
      </c>
      <c r="B92">
        <v>70701</v>
      </c>
      <c r="C92" s="101" t="s">
        <v>548</v>
      </c>
      <c r="D92" s="101">
        <f t="shared" si="2"/>
        <v>0</v>
      </c>
      <c r="E92" s="101"/>
      <c r="F92" s="101"/>
      <c r="G92" s="101">
        <f t="shared" si="3"/>
        <v>-22.5</v>
      </c>
      <c r="H92" s="101"/>
      <c r="I92" s="123">
        <v>22.5</v>
      </c>
    </row>
    <row r="93" spans="1:9">
      <c r="A93" s="101" t="str">
        <f>VLOOKUP(B93,Vertaaltabel!B:C,2,0)</f>
        <v>Topsport</v>
      </c>
      <c r="B93">
        <v>71001</v>
      </c>
      <c r="C93" s="101" t="s">
        <v>237</v>
      </c>
      <c r="D93" s="101">
        <f t="shared" si="2"/>
        <v>0</v>
      </c>
      <c r="E93" s="101"/>
      <c r="F93" s="101"/>
      <c r="G93" s="101">
        <f t="shared" si="3"/>
        <v>-7190.07</v>
      </c>
      <c r="H93" s="101"/>
      <c r="I93" s="123">
        <v>7190.07</v>
      </c>
    </row>
    <row r="94" spans="1:9">
      <c r="A94" s="101" t="str">
        <f>VLOOKUP(B94,Vertaaltabel!B:C,2,0)</f>
        <v>Training CJT,CAT,CPT en CMT</v>
      </c>
      <c r="B94">
        <v>71101</v>
      </c>
      <c r="C94" s="101" t="s">
        <v>238</v>
      </c>
      <c r="D94" s="101">
        <f t="shared" si="2"/>
        <v>-1586.76</v>
      </c>
      <c r="E94" s="101"/>
      <c r="F94" s="123">
        <v>1586.76</v>
      </c>
      <c r="G94" s="101">
        <f t="shared" si="3"/>
        <v>-1482.58</v>
      </c>
      <c r="H94" s="101"/>
      <c r="I94" s="123">
        <v>1482.58</v>
      </c>
    </row>
    <row r="95" spans="1:9">
      <c r="A95" s="101" t="str">
        <f>VLOOKUP(B95,Vertaaltabel!B:C,2,0)</f>
        <v>Training CJT,CAT,CPT en CMT</v>
      </c>
      <c r="B95">
        <v>71102</v>
      </c>
      <c r="C95" s="101" t="s">
        <v>239</v>
      </c>
      <c r="D95" s="101">
        <f t="shared" si="2"/>
        <v>-870.3</v>
      </c>
      <c r="E95" s="101"/>
      <c r="F95" s="123">
        <v>870.3</v>
      </c>
      <c r="G95" s="101">
        <f t="shared" si="3"/>
        <v>-1036.31</v>
      </c>
      <c r="H95" s="101"/>
      <c r="I95" s="123">
        <v>1036.31</v>
      </c>
    </row>
    <row r="96" spans="1:9">
      <c r="A96" s="101" t="str">
        <f>VLOOKUP(B96,Vertaaltabel!B:C,2,0)</f>
        <v>Training CJT,CAT,CPT en CMT</v>
      </c>
      <c r="B96">
        <v>71103</v>
      </c>
      <c r="C96" s="101" t="s">
        <v>240</v>
      </c>
      <c r="D96" s="101">
        <f t="shared" si="2"/>
        <v>-1214.92</v>
      </c>
      <c r="E96" s="101"/>
      <c r="F96" s="123">
        <v>1214.92</v>
      </c>
      <c r="G96" s="101">
        <f t="shared" si="3"/>
        <v>0</v>
      </c>
      <c r="H96" s="101"/>
      <c r="I96" s="101"/>
    </row>
    <row r="97" spans="1:9">
      <c r="A97" s="101" t="str">
        <f>VLOOKUP(B97,Vertaaltabel!B:C,2,0)</f>
        <v>Training CJT,CAT,CPT en CMT</v>
      </c>
      <c r="B97">
        <v>71104</v>
      </c>
      <c r="C97" s="101" t="s">
        <v>174</v>
      </c>
      <c r="D97" s="101">
        <f t="shared" si="2"/>
        <v>-954.6</v>
      </c>
      <c r="E97" s="101"/>
      <c r="F97" s="123">
        <v>954.6</v>
      </c>
      <c r="G97" s="101">
        <f t="shared" si="3"/>
        <v>-681.78</v>
      </c>
      <c r="H97" s="101"/>
      <c r="I97" s="123">
        <v>681.78</v>
      </c>
    </row>
    <row r="98" spans="1:9">
      <c r="A98" s="101" t="str">
        <f>VLOOKUP(B98,Vertaaltabel!B:C,2,0)</f>
        <v>Internationale wedst Senioren</v>
      </c>
      <c r="B98">
        <v>71201</v>
      </c>
      <c r="C98" s="101" t="s">
        <v>172</v>
      </c>
      <c r="D98" s="101">
        <f t="shared" si="2"/>
        <v>0</v>
      </c>
      <c r="E98" s="101"/>
      <c r="F98" s="101"/>
      <c r="G98" s="101">
        <f t="shared" si="3"/>
        <v>-160</v>
      </c>
      <c r="H98" s="101"/>
      <c r="I98" s="123">
        <v>160</v>
      </c>
    </row>
    <row r="99" spans="1:9">
      <c r="A99" s="101" t="str">
        <f>VLOOKUP(B99,Vertaaltabel!B:C,2,0)</f>
        <v>Internationale wedst Senioren</v>
      </c>
      <c r="B99">
        <v>71203</v>
      </c>
      <c r="C99" s="101" t="s">
        <v>173</v>
      </c>
      <c r="D99" s="101">
        <f t="shared" si="2"/>
        <v>-11648.16</v>
      </c>
      <c r="E99" s="101"/>
      <c r="F99" s="123">
        <v>11648.16</v>
      </c>
      <c r="G99" s="101">
        <f t="shared" si="3"/>
        <v>-5704.84</v>
      </c>
      <c r="H99" s="101"/>
      <c r="I99" s="123">
        <v>5704.84</v>
      </c>
    </row>
    <row r="100" spans="1:9">
      <c r="A100" s="101" t="str">
        <f>VLOOKUP(B100,Vertaaltabel!B:C,2,0)</f>
        <v>Internationale wedst Senioren</v>
      </c>
      <c r="B100">
        <v>71209</v>
      </c>
      <c r="C100" s="101" t="s">
        <v>549</v>
      </c>
      <c r="D100" s="101">
        <f t="shared" si="2"/>
        <v>-3461.6</v>
      </c>
      <c r="E100" s="101"/>
      <c r="F100" s="123">
        <v>3461.6</v>
      </c>
      <c r="G100" s="101">
        <f t="shared" si="3"/>
        <v>-6192.04</v>
      </c>
      <c r="H100" s="101"/>
      <c r="I100" s="123">
        <v>6192.04</v>
      </c>
    </row>
    <row r="101" spans="1:9">
      <c r="A101" s="101" t="str">
        <f>VLOOKUP(B101,Vertaaltabel!B:C,2,0)</f>
        <v>Internationale Jeugdwedst</v>
      </c>
      <c r="B101">
        <v>71301</v>
      </c>
      <c r="C101" s="101" t="s">
        <v>263</v>
      </c>
      <c r="D101" s="101">
        <f t="shared" si="2"/>
        <v>-33097.58</v>
      </c>
      <c r="E101" s="101"/>
      <c r="F101" s="123">
        <v>33097.58</v>
      </c>
      <c r="G101" s="101">
        <f t="shared" si="3"/>
        <v>-31539.61</v>
      </c>
      <c r="H101" s="101"/>
      <c r="I101" s="123">
        <v>31539.61</v>
      </c>
    </row>
    <row r="102" spans="1:9">
      <c r="A102" s="101" t="str">
        <f>VLOOKUP(B102,Vertaaltabel!B:C,2,0)</f>
        <v>Internationale Jeugdwedst</v>
      </c>
      <c r="B102">
        <v>71305</v>
      </c>
      <c r="C102" s="101" t="s">
        <v>170</v>
      </c>
      <c r="D102" s="101">
        <f t="shared" si="2"/>
        <v>0</v>
      </c>
      <c r="E102" s="101"/>
      <c r="F102" s="101"/>
      <c r="G102" s="101">
        <f t="shared" si="3"/>
        <v>-26224.66</v>
      </c>
      <c r="H102" s="101"/>
      <c r="I102" s="123">
        <v>26224.66</v>
      </c>
    </row>
    <row r="103" spans="1:9">
      <c r="A103" s="101" t="str">
        <f>VLOOKUP(B103,Vertaaltabel!B:C,2,0)</f>
        <v>Kantoorkosten (algemeen)</v>
      </c>
      <c r="B103">
        <v>76000</v>
      </c>
      <c r="C103" s="101" t="s">
        <v>550</v>
      </c>
      <c r="D103" s="101">
        <f t="shared" si="2"/>
        <v>-41.32</v>
      </c>
      <c r="E103" s="101"/>
      <c r="F103" s="123">
        <v>41.32</v>
      </c>
      <c r="G103" s="101">
        <f t="shared" si="3"/>
        <v>-976.45</v>
      </c>
      <c r="H103" s="101"/>
      <c r="I103" s="123">
        <v>976.45</v>
      </c>
    </row>
    <row r="104" spans="1:9">
      <c r="A104" s="101" t="str">
        <f>VLOOKUP(B104,Vertaaltabel!B:C,2,0)</f>
        <v>Kantoorkosten (algemeen)</v>
      </c>
      <c r="B104">
        <v>76001</v>
      </c>
      <c r="C104" s="101" t="s">
        <v>551</v>
      </c>
      <c r="D104" s="101">
        <f t="shared" si="2"/>
        <v>-3394.03</v>
      </c>
      <c r="E104" s="101"/>
      <c r="F104" s="123">
        <v>3394.03</v>
      </c>
      <c r="G104" s="101">
        <f t="shared" si="3"/>
        <v>-14</v>
      </c>
      <c r="H104" s="101"/>
      <c r="I104" s="123">
        <v>14</v>
      </c>
    </row>
    <row r="105" spans="1:9">
      <c r="A105" s="101" t="str">
        <f>VLOOKUP(B105,Vertaaltabel!B:C,2,0)</f>
        <v>Subsidies NOC/NSF</v>
      </c>
      <c r="B105">
        <v>78000</v>
      </c>
      <c r="C105" s="101" t="s">
        <v>552</v>
      </c>
      <c r="D105" s="101">
        <f t="shared" si="2"/>
        <v>-140290.25</v>
      </c>
      <c r="E105" s="101"/>
      <c r="F105" s="123">
        <v>140290.25</v>
      </c>
      <c r="G105" s="101">
        <f t="shared" si="3"/>
        <v>0</v>
      </c>
      <c r="H105" s="101"/>
      <c r="I105" s="101"/>
    </row>
    <row r="106" spans="1:9">
      <c r="A106" s="101" t="str">
        <f>VLOOKUP(B106,Vertaaltabel!B:C,2,0)</f>
        <v>Subsidies NOC/NSF</v>
      </c>
      <c r="B106">
        <v>78090</v>
      </c>
      <c r="C106" s="101" t="s">
        <v>553</v>
      </c>
      <c r="D106" s="101">
        <f t="shared" si="2"/>
        <v>-2450</v>
      </c>
      <c r="E106" s="101"/>
      <c r="F106" s="123">
        <v>2450</v>
      </c>
      <c r="G106" s="101">
        <f t="shared" si="3"/>
        <v>0</v>
      </c>
      <c r="H106" s="101"/>
      <c r="I106" s="101"/>
    </row>
    <row r="107" spans="1:9">
      <c r="A107" s="101" t="str">
        <f>VLOOKUP(B107,Vertaaltabel!B:C,2,0)</f>
        <v>Internet</v>
      </c>
      <c r="B107">
        <v>80301</v>
      </c>
      <c r="C107" s="101" t="s">
        <v>554</v>
      </c>
      <c r="D107" s="101">
        <f t="shared" si="2"/>
        <v>137</v>
      </c>
      <c r="E107" s="123">
        <v>137</v>
      </c>
      <c r="F107" s="101"/>
      <c r="G107" s="101">
        <f t="shared" si="3"/>
        <v>0</v>
      </c>
      <c r="H107" s="101"/>
      <c r="I107" s="101"/>
    </row>
    <row r="108" spans="1:9">
      <c r="A108" s="101" t="str">
        <f>VLOOKUP(B108,Vertaaltabel!B:C,2,0)</f>
        <v>Bijzondere baten en lasten</v>
      </c>
      <c r="B108">
        <v>90000</v>
      </c>
      <c r="C108" s="101" t="s">
        <v>167</v>
      </c>
      <c r="D108" s="101">
        <f t="shared" si="2"/>
        <v>0</v>
      </c>
      <c r="E108" s="101"/>
      <c r="F108" s="101"/>
      <c r="G108" s="101">
        <f t="shared" si="3"/>
        <v>-3759.52</v>
      </c>
      <c r="H108" s="101"/>
      <c r="I108" s="123">
        <v>3759.52</v>
      </c>
    </row>
    <row r="109" spans="1:9">
      <c r="A109" s="101" t="str">
        <f>VLOOKUP(B109,Vertaaltabel!B:C,2,0)</f>
        <v>Bijzondere baten en lasten</v>
      </c>
      <c r="B109">
        <v>90001</v>
      </c>
      <c r="C109" s="101" t="s">
        <v>166</v>
      </c>
      <c r="D109" s="101">
        <f t="shared" si="2"/>
        <v>0</v>
      </c>
      <c r="E109" s="101"/>
      <c r="F109" s="101"/>
      <c r="G109" s="101">
        <f t="shared" si="3"/>
        <v>20500</v>
      </c>
      <c r="H109" s="123">
        <v>20500</v>
      </c>
      <c r="I109" s="101"/>
    </row>
    <row r="110" spans="1:9">
      <c r="A110" s="101" t="str">
        <f>VLOOKUP(B110,Vertaaltabel!B:C,2,0)</f>
        <v>Kantoorkosten (algemeen)</v>
      </c>
      <c r="B110">
        <v>90002</v>
      </c>
      <c r="C110" s="101" t="s">
        <v>555</v>
      </c>
      <c r="D110" s="101">
        <f t="shared" si="2"/>
        <v>-72.66</v>
      </c>
      <c r="E110" s="101"/>
      <c r="F110" s="123">
        <v>72.66</v>
      </c>
      <c r="G110" s="101">
        <f t="shared" si="3"/>
        <v>0</v>
      </c>
      <c r="H110" s="101"/>
      <c r="I110" s="101"/>
    </row>
    <row r="111" spans="1:9">
      <c r="C111" s="101" t="s">
        <v>556</v>
      </c>
      <c r="D111" s="101">
        <f t="shared" si="2"/>
        <v>-26747.03</v>
      </c>
      <c r="E111" s="101"/>
      <c r="F111" s="123">
        <v>26747.03</v>
      </c>
      <c r="G111" s="101">
        <f t="shared" si="3"/>
        <v>10143.629999999999</v>
      </c>
      <c r="H111" s="123">
        <v>10143.629999999999</v>
      </c>
      <c r="I111" s="101"/>
    </row>
    <row r="112" spans="1:9">
      <c r="C112" s="101" t="s">
        <v>557</v>
      </c>
      <c r="D112" s="101">
        <f t="shared" si="2"/>
        <v>26747.03</v>
      </c>
      <c r="E112" s="123">
        <v>26747.03</v>
      </c>
      <c r="F112" s="101"/>
      <c r="G112" s="101">
        <f t="shared" si="3"/>
        <v>-10143.629999999999</v>
      </c>
      <c r="H112" s="101"/>
      <c r="I112" s="123">
        <v>10143.629999999999</v>
      </c>
    </row>
    <row r="113" spans="3:9">
      <c r="C113" s="101" t="s">
        <v>558</v>
      </c>
      <c r="D113" s="101">
        <f t="shared" si="2"/>
        <v>0</v>
      </c>
      <c r="E113" s="123">
        <v>26747.03</v>
      </c>
      <c r="F113" s="123">
        <v>26747.03</v>
      </c>
      <c r="G113" s="101">
        <f t="shared" si="3"/>
        <v>0</v>
      </c>
      <c r="H113" s="123">
        <v>10143.629999999999</v>
      </c>
      <c r="I113" s="123">
        <v>10143.629999999999</v>
      </c>
    </row>
  </sheetData>
  <autoFilter ref="A1:I11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K41" sqref="K41"/>
    </sheetView>
  </sheetViews>
  <sheetFormatPr defaultRowHeight="15"/>
  <cols>
    <col min="1" max="1" width="28.5703125" bestFit="1" customWidth="1"/>
    <col min="2" max="3" width="18.7109375" bestFit="1" customWidth="1"/>
    <col min="4" max="4" width="12.85546875" bestFit="1" customWidth="1"/>
  </cols>
  <sheetData>
    <row r="1" spans="1:3">
      <c r="A1" s="63" t="s">
        <v>279</v>
      </c>
      <c r="B1" t="s">
        <v>565</v>
      </c>
      <c r="C1" t="s">
        <v>566</v>
      </c>
    </row>
    <row r="2" spans="1:3">
      <c r="A2" s="1" t="s">
        <v>56</v>
      </c>
      <c r="B2" s="59">
        <v>0</v>
      </c>
      <c r="C2" s="59">
        <v>618.35</v>
      </c>
    </row>
    <row r="3" spans="1:3">
      <c r="A3" s="1" t="s">
        <v>58</v>
      </c>
      <c r="B3" s="59">
        <v>3452.05</v>
      </c>
      <c r="C3" s="59">
        <v>6037.94</v>
      </c>
    </row>
    <row r="4" spans="1:3">
      <c r="A4" s="1" t="s">
        <v>51</v>
      </c>
      <c r="B4" s="59">
        <v>0</v>
      </c>
      <c r="C4" s="59">
        <v>16740.48</v>
      </c>
    </row>
    <row r="5" spans="1:3">
      <c r="A5" s="1" t="s">
        <v>80</v>
      </c>
      <c r="B5" s="59">
        <v>-52941.64</v>
      </c>
      <c r="C5" s="59">
        <v>-100620</v>
      </c>
    </row>
    <row r="6" spans="1:3">
      <c r="A6" s="1" t="s">
        <v>275</v>
      </c>
      <c r="B6" s="59">
        <v>11326.56</v>
      </c>
      <c r="C6" s="59">
        <v>19779.689999999999</v>
      </c>
    </row>
    <row r="7" spans="1:3">
      <c r="A7" s="1" t="s">
        <v>63</v>
      </c>
      <c r="B7" s="59">
        <v>0</v>
      </c>
      <c r="C7" s="59">
        <v>9250</v>
      </c>
    </row>
    <row r="8" spans="1:3">
      <c r="A8" s="1" t="s">
        <v>52</v>
      </c>
      <c r="B8" s="59">
        <v>19769.28</v>
      </c>
      <c r="C8" s="59">
        <v>8491.0500000000065</v>
      </c>
    </row>
    <row r="9" spans="1:3">
      <c r="A9" s="1" t="s">
        <v>46</v>
      </c>
      <c r="B9" s="59">
        <v>20251.390000000003</v>
      </c>
      <c r="C9" s="59">
        <v>8051.89</v>
      </c>
    </row>
    <row r="10" spans="1:3">
      <c r="A10" s="1" t="s">
        <v>61</v>
      </c>
      <c r="B10" s="59">
        <v>6511.78</v>
      </c>
      <c r="C10" s="59">
        <v>4877.5600000000004</v>
      </c>
    </row>
    <row r="11" spans="1:3">
      <c r="A11" s="1" t="s">
        <v>72</v>
      </c>
      <c r="B11" s="59">
        <v>15881.47</v>
      </c>
      <c r="C11" s="59">
        <v>17809.219999999998</v>
      </c>
    </row>
    <row r="12" spans="1:3">
      <c r="A12" s="1" t="s">
        <v>48</v>
      </c>
      <c r="B12" s="59">
        <v>8100</v>
      </c>
      <c r="C12" s="59">
        <v>8100</v>
      </c>
    </row>
    <row r="13" spans="1:3">
      <c r="A13" s="1" t="s">
        <v>53</v>
      </c>
      <c r="B13" s="59">
        <v>3914.0499999999997</v>
      </c>
      <c r="C13" s="59">
        <v>4754.4799999999996</v>
      </c>
    </row>
    <row r="14" spans="1:3">
      <c r="A14" s="1" t="s">
        <v>68</v>
      </c>
      <c r="B14" s="59">
        <v>4598.1499999999996</v>
      </c>
      <c r="C14" s="59">
        <v>41990.55</v>
      </c>
    </row>
    <row r="15" spans="1:3">
      <c r="A15" s="1" t="s">
        <v>77</v>
      </c>
      <c r="B15" s="59">
        <v>-661.22</v>
      </c>
      <c r="C15" s="59">
        <v>-12238.289999999999</v>
      </c>
    </row>
    <row r="16" spans="1:3">
      <c r="A16" s="1" t="s">
        <v>66</v>
      </c>
      <c r="B16" s="59">
        <v>0</v>
      </c>
      <c r="C16" s="59">
        <v>50</v>
      </c>
    </row>
    <row r="17" spans="1:3">
      <c r="A17" s="1" t="s">
        <v>59</v>
      </c>
      <c r="B17" s="59">
        <v>206.75</v>
      </c>
      <c r="C17" s="59">
        <v>4362.5600000000004</v>
      </c>
    </row>
    <row r="18" spans="1:3">
      <c r="A18" s="1" t="s">
        <v>274</v>
      </c>
      <c r="B18" s="59">
        <v>117812.97000000002</v>
      </c>
      <c r="C18" s="59">
        <v>245058.47999999995</v>
      </c>
    </row>
    <row r="19" spans="1:3">
      <c r="A19" s="1" t="s">
        <v>54</v>
      </c>
      <c r="B19" s="59">
        <v>2425.91</v>
      </c>
      <c r="C19" s="59">
        <v>1656.02</v>
      </c>
    </row>
    <row r="20" spans="1:3">
      <c r="A20" s="1" t="s">
        <v>79</v>
      </c>
      <c r="B20" s="59">
        <v>-201835.44</v>
      </c>
      <c r="C20" s="59">
        <v>-304467.26</v>
      </c>
    </row>
    <row r="21" spans="1:3">
      <c r="A21" s="1" t="s">
        <v>44</v>
      </c>
      <c r="B21" s="59">
        <v>12031.81</v>
      </c>
      <c r="C21" s="59">
        <v>25361.58</v>
      </c>
    </row>
    <row r="22" spans="1:3">
      <c r="A22" s="1" t="s">
        <v>64</v>
      </c>
      <c r="B22" s="59">
        <v>1462.19</v>
      </c>
      <c r="C22" s="59">
        <v>-1520.6699999999998</v>
      </c>
    </row>
    <row r="23" spans="1:3">
      <c r="A23" s="1" t="s">
        <v>281</v>
      </c>
      <c r="B23" s="59">
        <v>-27693.939999999977</v>
      </c>
      <c r="C23" s="59">
        <v>4143.6299999999737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O20" sqref="O20"/>
    </sheetView>
  </sheetViews>
  <sheetFormatPr defaultRowHeight="15"/>
  <cols>
    <col min="1" max="1" width="28.5703125" bestFit="1" customWidth="1"/>
    <col min="2" max="2" width="15.140625" bestFit="1" customWidth="1"/>
    <col min="3" max="3" width="20.7109375" bestFit="1" customWidth="1"/>
    <col min="4" max="4" width="12.28515625" bestFit="1" customWidth="1"/>
  </cols>
  <sheetData>
    <row r="1" spans="1:4">
      <c r="A1" s="63" t="s">
        <v>279</v>
      </c>
      <c r="B1" t="s">
        <v>282</v>
      </c>
      <c r="C1" t="s">
        <v>283</v>
      </c>
    </row>
    <row r="2" spans="1:4">
      <c r="A2" s="1" t="s">
        <v>56</v>
      </c>
      <c r="B2">
        <v>651</v>
      </c>
      <c r="D2" s="58">
        <f>B2-C2</f>
        <v>651</v>
      </c>
    </row>
    <row r="3" spans="1:4">
      <c r="A3" s="1" t="s">
        <v>58</v>
      </c>
      <c r="B3">
        <v>3759</v>
      </c>
      <c r="C3">
        <v>125</v>
      </c>
      <c r="D3" s="58">
        <f t="shared" ref="D3:D23" si="0">B3-C3</f>
        <v>3634</v>
      </c>
    </row>
    <row r="4" spans="1:4">
      <c r="A4" s="1" t="s">
        <v>51</v>
      </c>
      <c r="B4">
        <v>5829</v>
      </c>
      <c r="C4">
        <v>2452</v>
      </c>
      <c r="D4" s="58">
        <f t="shared" si="0"/>
        <v>3377</v>
      </c>
    </row>
    <row r="5" spans="1:4">
      <c r="A5" s="1" t="s">
        <v>80</v>
      </c>
      <c r="C5">
        <v>116955</v>
      </c>
      <c r="D5" s="58">
        <f t="shared" si="0"/>
        <v>-116955</v>
      </c>
    </row>
    <row r="6" spans="1:4">
      <c r="A6" s="1" t="s">
        <v>275</v>
      </c>
      <c r="B6">
        <v>16800</v>
      </c>
      <c r="D6" s="58">
        <f t="shared" si="0"/>
        <v>16800</v>
      </c>
    </row>
    <row r="7" spans="1:4">
      <c r="A7" s="1" t="s">
        <v>63</v>
      </c>
      <c r="B7">
        <v>7309</v>
      </c>
      <c r="D7" s="58">
        <f t="shared" si="0"/>
        <v>7309</v>
      </c>
    </row>
    <row r="8" spans="1:4">
      <c r="A8" s="1" t="s">
        <v>52</v>
      </c>
      <c r="B8">
        <v>20727</v>
      </c>
      <c r="C8">
        <v>13951</v>
      </c>
      <c r="D8" s="58">
        <f t="shared" si="0"/>
        <v>6776</v>
      </c>
    </row>
    <row r="9" spans="1:4">
      <c r="A9" s="1" t="s">
        <v>46</v>
      </c>
      <c r="B9">
        <v>17595</v>
      </c>
      <c r="C9">
        <v>7894</v>
      </c>
      <c r="D9" s="58">
        <f t="shared" si="0"/>
        <v>9701</v>
      </c>
    </row>
    <row r="10" spans="1:4">
      <c r="A10" s="1" t="s">
        <v>61</v>
      </c>
      <c r="B10">
        <v>3341</v>
      </c>
      <c r="D10" s="58">
        <f t="shared" si="0"/>
        <v>3341</v>
      </c>
    </row>
    <row r="11" spans="1:4">
      <c r="A11" s="1" t="s">
        <v>72</v>
      </c>
      <c r="B11">
        <v>21008</v>
      </c>
      <c r="C11">
        <v>647</v>
      </c>
      <c r="D11" s="58">
        <f t="shared" si="0"/>
        <v>20361</v>
      </c>
    </row>
    <row r="12" spans="1:4">
      <c r="A12" s="1" t="s">
        <v>48</v>
      </c>
      <c r="B12">
        <v>6050</v>
      </c>
      <c r="D12" s="58">
        <f t="shared" si="0"/>
        <v>6050</v>
      </c>
    </row>
    <row r="13" spans="1:4">
      <c r="A13" s="1" t="s">
        <v>53</v>
      </c>
      <c r="B13">
        <v>4656</v>
      </c>
      <c r="C13">
        <v>670</v>
      </c>
      <c r="D13" s="58">
        <f t="shared" si="0"/>
        <v>3986</v>
      </c>
    </row>
    <row r="14" spans="1:4">
      <c r="A14" s="1" t="s">
        <v>68</v>
      </c>
      <c r="B14">
        <v>12206</v>
      </c>
      <c r="D14" s="58">
        <f t="shared" si="0"/>
        <v>12206</v>
      </c>
    </row>
    <row r="15" spans="1:4">
      <c r="A15" s="1" t="s">
        <v>77</v>
      </c>
      <c r="B15">
        <v>-107</v>
      </c>
      <c r="C15">
        <v>6018</v>
      </c>
      <c r="D15" s="58">
        <f t="shared" si="0"/>
        <v>-6125</v>
      </c>
    </row>
    <row r="16" spans="1:4">
      <c r="A16" s="1" t="s">
        <v>66</v>
      </c>
      <c r="B16">
        <v>6460</v>
      </c>
      <c r="C16">
        <v>800</v>
      </c>
      <c r="D16" s="58">
        <f t="shared" si="0"/>
        <v>5660</v>
      </c>
    </row>
    <row r="17" spans="1:4">
      <c r="A17" s="1" t="s">
        <v>59</v>
      </c>
      <c r="B17">
        <v>4004</v>
      </c>
      <c r="D17" s="58">
        <f t="shared" si="0"/>
        <v>4004</v>
      </c>
    </row>
    <row r="18" spans="1:4">
      <c r="A18" s="1" t="s">
        <v>274</v>
      </c>
      <c r="B18">
        <v>213339</v>
      </c>
      <c r="C18">
        <v>-5213</v>
      </c>
      <c r="D18" s="58">
        <f t="shared" si="0"/>
        <v>218552</v>
      </c>
    </row>
    <row r="19" spans="1:4">
      <c r="A19" s="1" t="s">
        <v>54</v>
      </c>
      <c r="D19" s="58">
        <f t="shared" si="0"/>
        <v>0</v>
      </c>
    </row>
    <row r="20" spans="1:4">
      <c r="A20" s="1" t="s">
        <v>79</v>
      </c>
      <c r="C20">
        <v>224199</v>
      </c>
      <c r="D20" s="58">
        <f t="shared" si="0"/>
        <v>-224199</v>
      </c>
    </row>
    <row r="21" spans="1:4">
      <c r="A21" s="1" t="s">
        <v>44</v>
      </c>
      <c r="B21">
        <v>8551</v>
      </c>
      <c r="C21">
        <v>10050</v>
      </c>
      <c r="D21" s="58">
        <f t="shared" si="0"/>
        <v>-1499</v>
      </c>
    </row>
    <row r="22" spans="1:4">
      <c r="A22" s="1" t="s">
        <v>64</v>
      </c>
      <c r="B22">
        <v>10970</v>
      </c>
      <c r="C22">
        <v>5657</v>
      </c>
      <c r="D22" s="58">
        <f t="shared" si="0"/>
        <v>5313</v>
      </c>
    </row>
    <row r="23" spans="1:4">
      <c r="A23" s="1" t="s">
        <v>144</v>
      </c>
      <c r="B23">
        <v>21057</v>
      </c>
      <c r="D23" s="58">
        <f t="shared" si="0"/>
        <v>21057</v>
      </c>
    </row>
    <row r="24" spans="1:4">
      <c r="A24" s="1" t="s">
        <v>280</v>
      </c>
      <c r="B24">
        <v>363148</v>
      </c>
      <c r="C24">
        <v>384205</v>
      </c>
    </row>
    <row r="25" spans="1:4">
      <c r="A25" s="1" t="s">
        <v>281</v>
      </c>
      <c r="B25">
        <v>747353</v>
      </c>
      <c r="C25">
        <v>768410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61"/>
  <sheetViews>
    <sheetView tabSelected="1" zoomScale="145" zoomScaleNormal="145" workbookViewId="0">
      <selection activeCell="C9" sqref="C9"/>
    </sheetView>
  </sheetViews>
  <sheetFormatPr defaultRowHeight="15"/>
  <cols>
    <col min="1" max="1" width="3.28515625" customWidth="1"/>
    <col min="2" max="2" width="28.5703125" bestFit="1" customWidth="1"/>
    <col min="3" max="3" width="61.85546875" customWidth="1"/>
    <col min="4" max="4" width="10.140625" hidden="1" customWidth="1"/>
    <col min="5" max="5" width="8.85546875" hidden="1" customWidth="1"/>
    <col min="6" max="6" width="10.140625" hidden="1" customWidth="1"/>
    <col min="7" max="7" width="8.85546875" hidden="1" customWidth="1"/>
    <col min="8" max="8" width="10.140625" hidden="1" customWidth="1"/>
    <col min="9" max="11" width="8.85546875" hidden="1" customWidth="1"/>
    <col min="12" max="12" width="10.140625" hidden="1" customWidth="1"/>
    <col min="13" max="13" width="8.85546875" hidden="1" customWidth="1"/>
    <col min="14" max="14" width="10.140625" bestFit="1" customWidth="1"/>
    <col min="15" max="15" width="8.85546875" bestFit="1" customWidth="1"/>
    <col min="16" max="16" width="12.140625" hidden="1" customWidth="1"/>
    <col min="17" max="17" width="10.5703125" hidden="1" customWidth="1"/>
    <col min="18" max="18" width="10.140625" bestFit="1" customWidth="1"/>
    <col min="19" max="20" width="9.85546875" customWidth="1"/>
  </cols>
  <sheetData>
    <row r="1" spans="1:26" ht="31.5">
      <c r="A1" s="56" t="s">
        <v>103</v>
      </c>
      <c r="S1" s="2"/>
    </row>
    <row r="2" spans="1:26" ht="31.5">
      <c r="A2" s="56"/>
    </row>
    <row r="3" spans="1:26">
      <c r="A3" s="55"/>
      <c r="B3" s="54"/>
      <c r="C3" s="54"/>
      <c r="D3" s="135" t="s">
        <v>102</v>
      </c>
      <c r="E3" s="136"/>
      <c r="F3" s="135" t="s">
        <v>101</v>
      </c>
      <c r="G3" s="136"/>
      <c r="H3" s="135" t="s">
        <v>104</v>
      </c>
      <c r="I3" s="136"/>
      <c r="J3" s="133" t="s">
        <v>98</v>
      </c>
      <c r="K3" s="134"/>
      <c r="L3" s="137" t="s">
        <v>467</v>
      </c>
      <c r="M3" s="138"/>
      <c r="N3" s="133" t="s">
        <v>96</v>
      </c>
      <c r="O3" s="134"/>
      <c r="P3" s="137" t="s">
        <v>500</v>
      </c>
      <c r="Q3" s="138"/>
      <c r="R3" s="133" t="s">
        <v>501</v>
      </c>
      <c r="S3" s="134"/>
      <c r="T3" s="133" t="s">
        <v>567</v>
      </c>
      <c r="U3" s="134"/>
      <c r="V3" s="133" t="s">
        <v>568</v>
      </c>
      <c r="W3" s="134"/>
      <c r="X3" s="133" t="s">
        <v>569</v>
      </c>
      <c r="Y3" s="134"/>
    </row>
    <row r="4" spans="1:26">
      <c r="A4" s="27"/>
      <c r="B4" s="4" t="s">
        <v>95</v>
      </c>
      <c r="C4" s="27" t="s">
        <v>94</v>
      </c>
      <c r="D4" s="53" t="s">
        <v>93</v>
      </c>
      <c r="E4" s="52" t="s">
        <v>44</v>
      </c>
      <c r="F4" s="53" t="s">
        <v>93</v>
      </c>
      <c r="G4" s="52" t="s">
        <v>44</v>
      </c>
      <c r="H4" s="53" t="s">
        <v>93</v>
      </c>
      <c r="I4" s="52" t="s">
        <v>44</v>
      </c>
      <c r="J4" s="51" t="s">
        <v>93</v>
      </c>
      <c r="K4" s="50" t="s">
        <v>44</v>
      </c>
      <c r="L4" s="83" t="s">
        <v>93</v>
      </c>
      <c r="M4" s="84" t="s">
        <v>44</v>
      </c>
      <c r="N4" s="51" t="s">
        <v>93</v>
      </c>
      <c r="O4" s="50" t="s">
        <v>44</v>
      </c>
      <c r="P4" s="83" t="s">
        <v>93</v>
      </c>
      <c r="Q4" s="84" t="s">
        <v>44</v>
      </c>
      <c r="R4" s="51" t="s">
        <v>93</v>
      </c>
      <c r="S4" s="50" t="s">
        <v>44</v>
      </c>
      <c r="T4" s="51" t="s">
        <v>93</v>
      </c>
      <c r="U4" s="50" t="s">
        <v>44</v>
      </c>
      <c r="V4" s="51" t="s">
        <v>93</v>
      </c>
      <c r="W4" s="50" t="s">
        <v>44</v>
      </c>
      <c r="X4" s="51" t="s">
        <v>93</v>
      </c>
      <c r="Y4" s="50" t="s">
        <v>44</v>
      </c>
    </row>
    <row r="5" spans="1:26" ht="15.75" thickBot="1">
      <c r="A5" s="48"/>
      <c r="B5" s="49"/>
      <c r="C5" s="48"/>
      <c r="D5" s="47"/>
      <c r="E5" s="46"/>
      <c r="F5" s="45" t="s">
        <v>92</v>
      </c>
      <c r="G5" s="44" t="s">
        <v>91</v>
      </c>
      <c r="H5" s="45" t="s">
        <v>92</v>
      </c>
      <c r="I5" s="44" t="s">
        <v>91</v>
      </c>
      <c r="J5" s="41" t="s">
        <v>86</v>
      </c>
      <c r="K5" s="40" t="s">
        <v>85</v>
      </c>
      <c r="L5" s="85" t="s">
        <v>90</v>
      </c>
      <c r="M5" s="86" t="s">
        <v>89</v>
      </c>
      <c r="N5" s="41"/>
      <c r="O5" s="40"/>
      <c r="P5" s="85"/>
      <c r="Q5" s="86"/>
      <c r="R5" s="41"/>
      <c r="S5" s="40"/>
      <c r="T5" s="41"/>
      <c r="U5" s="40"/>
      <c r="V5" s="41"/>
      <c r="W5" s="40"/>
      <c r="X5" s="41"/>
      <c r="Y5" s="40"/>
    </row>
    <row r="6" spans="1:26">
      <c r="A6" s="1"/>
      <c r="C6" s="6"/>
      <c r="D6" s="32"/>
      <c r="E6" s="31"/>
      <c r="F6" s="32"/>
      <c r="G6" s="31"/>
      <c r="H6" s="32"/>
      <c r="I6" s="31"/>
      <c r="J6" s="30"/>
      <c r="K6" s="29"/>
      <c r="L6" s="87"/>
      <c r="M6" s="88"/>
      <c r="N6" s="30"/>
      <c r="O6" s="29"/>
      <c r="P6" s="87"/>
      <c r="Q6" s="115"/>
      <c r="R6" s="29"/>
      <c r="S6" s="125"/>
      <c r="T6" s="29"/>
      <c r="U6" s="125"/>
      <c r="V6" s="29"/>
      <c r="W6" s="125"/>
      <c r="X6" s="29"/>
      <c r="Y6" s="29"/>
    </row>
    <row r="7" spans="1:26">
      <c r="A7" s="1">
        <v>1</v>
      </c>
      <c r="B7" t="s">
        <v>80</v>
      </c>
      <c r="C7" s="6"/>
      <c r="D7" s="32">
        <v>126693</v>
      </c>
      <c r="E7" s="31"/>
      <c r="F7" s="32">
        <v>123753</v>
      </c>
      <c r="G7" s="31"/>
      <c r="H7" s="64">
        <f>'2021'!D75+'2021'!D76+'2021'!D77-'2021'!L28</f>
        <v>113477</v>
      </c>
      <c r="I7" s="65"/>
      <c r="J7" s="30">
        <v>98000</v>
      </c>
      <c r="K7" s="29"/>
      <c r="L7" s="87" t="e">
        <f>GETPIVOTDATA("Som van 2022",'Draaitabel 2024'!$A$1,"Categorie","Contributie leden")*-1</f>
        <v>#REF!</v>
      </c>
      <c r="M7" s="88"/>
      <c r="N7" s="110">
        <v>91376.56</v>
      </c>
      <c r="O7" s="110"/>
      <c r="P7" s="91">
        <f>VLOOKUP(B7,'Draaitabel 2024'!A:C,2,1)*-1+40000</f>
        <v>92941.64</v>
      </c>
      <c r="Q7" s="116"/>
      <c r="R7" s="110">
        <f>Ledenaantallen!G22+153</f>
        <v>96000.45</v>
      </c>
      <c r="S7" s="126"/>
      <c r="T7" s="110">
        <f>Ledenaantallen!H22+140</f>
        <v>94499.849999999991</v>
      </c>
      <c r="U7" s="126"/>
      <c r="V7" s="110">
        <f>Ledenaantallen!I22+221</f>
        <v>93000.274999999994</v>
      </c>
      <c r="W7" s="126"/>
      <c r="X7" s="110">
        <f>Ledenaantallen!J22+101</f>
        <v>91299.7</v>
      </c>
      <c r="Y7" s="110"/>
    </row>
    <row r="8" spans="1:26">
      <c r="A8" s="1">
        <v>2</v>
      </c>
      <c r="B8" t="s">
        <v>79</v>
      </c>
      <c r="C8" s="6" t="s">
        <v>78</v>
      </c>
      <c r="D8" s="32">
        <v>36035</v>
      </c>
      <c r="E8" s="31">
        <v>191026</v>
      </c>
      <c r="F8" s="32">
        <v>33909</v>
      </c>
      <c r="G8" s="31">
        <v>186157</v>
      </c>
      <c r="H8" s="64">
        <f>'2021'!D78</f>
        <v>39627</v>
      </c>
      <c r="I8" s="65">
        <f>'2021'!D120+'2021'!D121</f>
        <v>184572</v>
      </c>
      <c r="J8" s="30">
        <v>50000</v>
      </c>
      <c r="K8" s="29">
        <v>175675</v>
      </c>
      <c r="L8" s="87">
        <v>55220</v>
      </c>
      <c r="M8" s="88">
        <f>181716+900</f>
        <v>182616</v>
      </c>
      <c r="N8" s="110">
        <v>54779</v>
      </c>
      <c r="O8" s="110">
        <v>186473</v>
      </c>
      <c r="P8" s="91">
        <f>VLOOKUP(B8,'Draaitabel 2024'!A:C,2,1)*-1</f>
        <v>201835.44</v>
      </c>
      <c r="Q8" s="116">
        <f>193270+5000</f>
        <v>198270</v>
      </c>
      <c r="R8" s="110">
        <v>55000</v>
      </c>
      <c r="S8" s="132">
        <f>218270</f>
        <v>218270</v>
      </c>
      <c r="T8" s="110">
        <v>55500</v>
      </c>
      <c r="U8" s="132">
        <v>224650</v>
      </c>
      <c r="V8" s="110">
        <v>56500</v>
      </c>
      <c r="W8" s="132">
        <v>231200</v>
      </c>
      <c r="X8" s="110">
        <v>57000</v>
      </c>
      <c r="Y8" s="131">
        <v>238000</v>
      </c>
    </row>
    <row r="9" spans="1:26">
      <c r="A9" s="1"/>
      <c r="B9" t="s">
        <v>480</v>
      </c>
      <c r="C9" s="6"/>
      <c r="D9" s="32"/>
      <c r="E9" s="31"/>
      <c r="F9" s="32"/>
      <c r="G9" s="31"/>
      <c r="H9" s="64"/>
      <c r="I9" s="65"/>
      <c r="J9" s="30"/>
      <c r="K9" s="29"/>
      <c r="L9" s="87"/>
      <c r="M9" s="88"/>
      <c r="N9" s="110">
        <v>8140</v>
      </c>
      <c r="O9" s="110"/>
      <c r="P9" s="91">
        <f>VLOOKUP(B9,'Draaitabel 2024'!A:C,2,1)*-1</f>
        <v>27693.939999999977</v>
      </c>
      <c r="Q9" s="116"/>
      <c r="R9" s="110">
        <v>8140</v>
      </c>
      <c r="S9" s="126"/>
      <c r="T9" s="110"/>
      <c r="U9" s="126"/>
      <c r="V9" s="110"/>
      <c r="W9" s="126"/>
      <c r="X9" s="110"/>
      <c r="Y9" s="110"/>
      <c r="Z9">
        <v>8140</v>
      </c>
    </row>
    <row r="10" spans="1:26">
      <c r="A10" s="1">
        <v>3</v>
      </c>
      <c r="B10" t="s">
        <v>77</v>
      </c>
      <c r="C10" s="6" t="s">
        <v>76</v>
      </c>
      <c r="D10" s="32">
        <v>11418</v>
      </c>
      <c r="E10" s="31"/>
      <c r="F10" s="32">
        <v>1957</v>
      </c>
      <c r="G10" s="31"/>
      <c r="H10" s="64">
        <f>'2021'!C90*-1+'2021'!D123</f>
        <v>6125</v>
      </c>
      <c r="I10" s="65"/>
      <c r="J10" s="30">
        <v>7535</v>
      </c>
      <c r="K10" s="29"/>
      <c r="L10" s="87" t="e">
        <f>GETPIVOTDATA("Som van 2022",'Draaitabel 2024'!$A$1,"Categorie","Opbrengsten NC")*-1</f>
        <v>#REF!</v>
      </c>
      <c r="M10" s="88"/>
      <c r="N10" s="110">
        <v>9500</v>
      </c>
      <c r="O10" s="110"/>
      <c r="P10" s="91">
        <f>VLOOKUP(B10,'Draaitabel 2024'!A:C,2,1)*-1</f>
        <v>661.22</v>
      </c>
      <c r="Q10" s="116"/>
      <c r="R10" s="110">
        <v>9500</v>
      </c>
      <c r="S10" s="126"/>
      <c r="T10" s="110">
        <f>9500+2500</f>
        <v>12000</v>
      </c>
      <c r="U10" s="126"/>
      <c r="V10" s="110">
        <f>9500+2500</f>
        <v>12000</v>
      </c>
      <c r="W10" s="126"/>
      <c r="X10" s="110">
        <f>9500+2500</f>
        <v>12000</v>
      </c>
      <c r="Y10" s="110"/>
      <c r="Z10" t="s">
        <v>580</v>
      </c>
    </row>
    <row r="11" spans="1:26">
      <c r="A11" s="1"/>
      <c r="B11" t="s">
        <v>576</v>
      </c>
      <c r="C11" s="6"/>
      <c r="D11" s="32"/>
      <c r="E11" s="31"/>
      <c r="F11" s="32"/>
      <c r="G11" s="31"/>
      <c r="H11" s="64"/>
      <c r="I11" s="65"/>
      <c r="J11" s="30"/>
      <c r="K11" s="29"/>
      <c r="L11" s="87"/>
      <c r="M11" s="88"/>
      <c r="N11" s="110"/>
      <c r="O11" s="110"/>
      <c r="P11" s="91"/>
      <c r="Q11" s="116"/>
      <c r="R11" s="110"/>
      <c r="S11" s="126">
        <v>5000</v>
      </c>
      <c r="T11" s="110"/>
      <c r="U11" s="126">
        <v>5000</v>
      </c>
      <c r="V11" s="110"/>
      <c r="W11" s="126">
        <v>7500</v>
      </c>
      <c r="X11" s="110"/>
      <c r="Y11" s="110">
        <v>7500</v>
      </c>
    </row>
    <row r="12" spans="1:26">
      <c r="A12" s="1">
        <v>4</v>
      </c>
      <c r="B12" t="s">
        <v>459</v>
      </c>
      <c r="C12" s="6"/>
      <c r="D12" s="32"/>
      <c r="E12" s="31"/>
      <c r="F12" s="32"/>
      <c r="G12" s="31"/>
      <c r="H12" s="32"/>
      <c r="I12" s="31"/>
      <c r="J12" s="30"/>
      <c r="K12" s="29"/>
      <c r="L12" s="87"/>
      <c r="M12" s="88">
        <v>15500</v>
      </c>
      <c r="N12" s="110"/>
      <c r="O12" s="110">
        <v>23000</v>
      </c>
      <c r="P12" s="87"/>
      <c r="Q12" s="116">
        <v>23000</v>
      </c>
      <c r="R12" s="110"/>
      <c r="S12" s="132">
        <v>23000</v>
      </c>
      <c r="T12" s="110"/>
      <c r="U12" s="132">
        <v>23000</v>
      </c>
      <c r="V12" s="110"/>
      <c r="W12" s="132">
        <v>23000</v>
      </c>
      <c r="X12" s="110"/>
      <c r="Y12" s="131">
        <v>23000</v>
      </c>
    </row>
    <row r="13" spans="1:26">
      <c r="A13" s="22"/>
      <c r="B13" s="21" t="s">
        <v>75</v>
      </c>
      <c r="C13" s="20"/>
      <c r="D13" s="36">
        <f t="shared" ref="D13:S13" si="0">SUM(D7:D12)</f>
        <v>174146</v>
      </c>
      <c r="E13" s="35">
        <f t="shared" si="0"/>
        <v>191026</v>
      </c>
      <c r="F13" s="36">
        <f t="shared" si="0"/>
        <v>159619</v>
      </c>
      <c r="G13" s="35">
        <f t="shared" si="0"/>
        <v>186157</v>
      </c>
      <c r="H13" s="36">
        <f t="shared" ref="H13" si="1">SUM(H7:H12)</f>
        <v>159229</v>
      </c>
      <c r="I13" s="35">
        <f t="shared" ref="I13" si="2">SUM(I7:I12)</f>
        <v>184572</v>
      </c>
      <c r="J13" s="34">
        <f t="shared" ref="J13:K13" si="3">SUM(J7:J12)</f>
        <v>155535</v>
      </c>
      <c r="K13" s="33">
        <f t="shared" si="3"/>
        <v>175675</v>
      </c>
      <c r="L13" s="89" t="e">
        <f t="shared" ref="L13" si="4">SUM(L7:L12)</f>
        <v>#REF!</v>
      </c>
      <c r="M13" s="90">
        <f t="shared" ref="M13" si="5">SUM(M7:M12)</f>
        <v>198116</v>
      </c>
      <c r="N13" s="33">
        <f t="shared" ref="N13:O13" si="6">SUM(N7:N12)</f>
        <v>163795.56</v>
      </c>
      <c r="O13" s="33">
        <f t="shared" si="6"/>
        <v>209473</v>
      </c>
      <c r="P13" s="89">
        <f t="shared" si="0"/>
        <v>323132.24</v>
      </c>
      <c r="Q13" s="117">
        <f t="shared" si="0"/>
        <v>221270</v>
      </c>
      <c r="R13" s="33">
        <f t="shared" si="0"/>
        <v>168640.45</v>
      </c>
      <c r="S13" s="127">
        <f t="shared" si="0"/>
        <v>246270</v>
      </c>
      <c r="T13" s="33">
        <f t="shared" ref="T13:Y13" si="7">SUM(T7:T12)</f>
        <v>161999.84999999998</v>
      </c>
      <c r="U13" s="127">
        <f t="shared" si="7"/>
        <v>252650</v>
      </c>
      <c r="V13" s="33">
        <f t="shared" si="7"/>
        <v>161500.27499999999</v>
      </c>
      <c r="W13" s="127">
        <f t="shared" si="7"/>
        <v>261700</v>
      </c>
      <c r="X13" s="33">
        <f t="shared" si="7"/>
        <v>160299.70000000001</v>
      </c>
      <c r="Y13" s="33">
        <f t="shared" si="7"/>
        <v>268500</v>
      </c>
    </row>
    <row r="14" spans="1:26">
      <c r="A14" s="1"/>
      <c r="C14" s="6"/>
      <c r="D14" s="32"/>
      <c r="E14" s="31"/>
      <c r="F14" s="32"/>
      <c r="G14" s="31"/>
      <c r="H14" s="32"/>
      <c r="I14" s="31"/>
      <c r="J14" s="30"/>
      <c r="K14" s="29"/>
      <c r="L14" s="87"/>
      <c r="M14" s="88"/>
      <c r="N14" s="110"/>
      <c r="O14" s="110"/>
      <c r="P14" s="87"/>
      <c r="Q14" s="116"/>
      <c r="R14" s="110"/>
      <c r="S14" s="126"/>
      <c r="T14" s="110"/>
      <c r="U14" s="126"/>
      <c r="V14" s="110"/>
      <c r="W14" s="126"/>
      <c r="X14" s="110"/>
      <c r="Y14" s="110"/>
    </row>
    <row r="15" spans="1:26">
      <c r="A15" s="1">
        <v>4</v>
      </c>
      <c r="B15" t="s">
        <v>74</v>
      </c>
      <c r="C15" s="6" t="s">
        <v>73</v>
      </c>
      <c r="D15" s="15">
        <v>70742</v>
      </c>
      <c r="E15" s="6">
        <v>161405.23000000001</v>
      </c>
      <c r="F15" s="15">
        <v>64095</v>
      </c>
      <c r="G15" s="6">
        <v>171466</v>
      </c>
      <c r="H15" s="66">
        <f>'DT 2021'!D18-I15</f>
        <v>74451.19</v>
      </c>
      <c r="I15" s="67">
        <f>34013.18+75496.42+34591.21</f>
        <v>144100.81</v>
      </c>
      <c r="J15" s="14">
        <v>63862.04</v>
      </c>
      <c r="K15" s="13">
        <v>156048.57999999999</v>
      </c>
      <c r="L15" s="91" t="e">
        <f>GETPIVOTDATA("Som van 2022",'Draaitabel 2024'!$A$1,"Categorie","Salaris")-M15</f>
        <v>#REF!</v>
      </c>
      <c r="M15" s="92">
        <v>151491.64000000001</v>
      </c>
      <c r="N15" s="110">
        <v>74020</v>
      </c>
      <c r="O15" s="110">
        <v>160471.49999999997</v>
      </c>
      <c r="P15" s="91">
        <f>VLOOKUP(B15,'Draaitabel 2024'!A:C,2,1)/8*12</f>
        <v>176719.45500000002</v>
      </c>
      <c r="Q15" s="118"/>
      <c r="R15" s="131">
        <v>70000</v>
      </c>
      <c r="S15" s="132">
        <v>202750</v>
      </c>
      <c r="T15" s="131">
        <f>R15*1.05</f>
        <v>73500</v>
      </c>
      <c r="U15" s="132">
        <v>212475</v>
      </c>
      <c r="V15" s="131">
        <f>T15*1.025+12</f>
        <v>75349.5</v>
      </c>
      <c r="W15" s="132">
        <v>222700</v>
      </c>
      <c r="X15" s="131">
        <f>V15*1.025+17</f>
        <v>77250.237499999988</v>
      </c>
      <c r="Y15" s="131">
        <v>231050</v>
      </c>
      <c r="Z15" t="s">
        <v>476</v>
      </c>
    </row>
    <row r="16" spans="1:26">
      <c r="A16" s="1">
        <v>5</v>
      </c>
      <c r="B16" t="s">
        <v>72</v>
      </c>
      <c r="C16" s="6" t="s">
        <v>71</v>
      </c>
      <c r="D16" s="15">
        <f>2792.5+22568</f>
        <v>25360.5</v>
      </c>
      <c r="F16" s="15">
        <v>36932</v>
      </c>
      <c r="H16" s="66">
        <f>'DT 2021'!D11</f>
        <v>20361</v>
      </c>
      <c r="J16" s="14">
        <v>23822.81</v>
      </c>
      <c r="K16" s="28"/>
      <c r="L16" s="91" t="e">
        <f>GETPIVOTDATA("Som van 2022",'Draaitabel 2024'!$A$1,"Categorie","Kantoorkosten (algemeen)")</f>
        <v>#REF!</v>
      </c>
      <c r="M16" s="93"/>
      <c r="N16" s="110">
        <v>17500</v>
      </c>
      <c r="O16" s="110"/>
      <c r="P16" s="91">
        <f>VLOOKUP(B16,'Draaitabel 2024'!A:C,2,1)/8*12</f>
        <v>23822.204999999998</v>
      </c>
      <c r="Q16" s="119"/>
      <c r="R16" s="131">
        <v>17500</v>
      </c>
      <c r="S16" s="126"/>
      <c r="T16" s="131">
        <v>17000</v>
      </c>
      <c r="U16" s="126"/>
      <c r="V16" s="131">
        <v>17000</v>
      </c>
      <c r="W16" s="126"/>
      <c r="X16" s="131">
        <v>16000</v>
      </c>
      <c r="Y16" s="110"/>
      <c r="Z16" t="s">
        <v>491</v>
      </c>
    </row>
    <row r="17" spans="1:26">
      <c r="A17" s="1">
        <v>6</v>
      </c>
      <c r="B17" t="s">
        <v>275</v>
      </c>
      <c r="C17" s="6" t="s">
        <v>69</v>
      </c>
      <c r="D17" s="15">
        <v>15883</v>
      </c>
      <c r="E17" s="6"/>
      <c r="F17" s="15">
        <v>15401</v>
      </c>
      <c r="G17" s="6"/>
      <c r="H17" s="66">
        <f>'DT 2021'!D6</f>
        <v>16800</v>
      </c>
      <c r="I17" s="67"/>
      <c r="J17" s="14">
        <v>13792.67</v>
      </c>
      <c r="K17" s="13"/>
      <c r="L17" s="91" t="e">
        <f>GETPIVOTDATA("Som van 2022",'Draaitabel 2024'!$A$1,"Categorie","Het Damspel")</f>
        <v>#REF!</v>
      </c>
      <c r="M17" s="92"/>
      <c r="N17" s="110">
        <v>17500</v>
      </c>
      <c r="O17" s="110"/>
      <c r="P17" s="91">
        <f>VLOOKUP(B17,'Draaitabel 2024'!A:C,2,1)/3*4+2500</f>
        <v>17602.080000000002</v>
      </c>
      <c r="Q17" s="118"/>
      <c r="R17" s="131">
        <v>17500</v>
      </c>
      <c r="S17" s="126"/>
      <c r="T17" s="131">
        <v>17500</v>
      </c>
      <c r="U17" s="126"/>
      <c r="V17" s="131">
        <v>17500</v>
      </c>
      <c r="W17" s="126"/>
      <c r="X17" s="131">
        <v>17500</v>
      </c>
      <c r="Y17" s="110"/>
      <c r="Z17" t="s">
        <v>577</v>
      </c>
    </row>
    <row r="18" spans="1:26">
      <c r="A18" s="1">
        <v>7</v>
      </c>
      <c r="B18" t="s">
        <v>68</v>
      </c>
      <c r="C18" s="6" t="s">
        <v>67</v>
      </c>
      <c r="D18" s="15">
        <v>10549</v>
      </c>
      <c r="E18" s="6"/>
      <c r="F18" s="15">
        <v>2325</v>
      </c>
      <c r="G18" s="6"/>
      <c r="H18" s="66">
        <f>'DT 2021'!D14</f>
        <v>12206</v>
      </c>
      <c r="I18" s="67"/>
      <c r="J18" s="14">
        <v>13897</v>
      </c>
      <c r="K18" s="13"/>
      <c r="L18" s="91" t="e">
        <f>GETPIVOTDATA("Som van 2022",'Draaitabel 2024'!$A$1,"Categorie","Nationale wedst. Senioren")</f>
        <v>#REF!</v>
      </c>
      <c r="M18" s="92"/>
      <c r="N18" s="110">
        <v>16000</v>
      </c>
      <c r="O18" s="110"/>
      <c r="P18" s="91">
        <f>VLOOKUP(B18,'Draaitabel 2024'!A:C,2,1)+11500</f>
        <v>16098.15</v>
      </c>
      <c r="Q18" s="118"/>
      <c r="R18" s="131">
        <f>'Nationale wedstrijden'!B11-S18</f>
        <v>11000</v>
      </c>
      <c r="S18" s="132">
        <v>13000</v>
      </c>
      <c r="T18" s="131">
        <f>R18</f>
        <v>11000</v>
      </c>
      <c r="U18" s="132">
        <v>13000</v>
      </c>
      <c r="V18" s="131">
        <f>T18</f>
        <v>11000</v>
      </c>
      <c r="W18" s="132">
        <v>13000</v>
      </c>
      <c r="X18" s="131">
        <f>V18</f>
        <v>11000</v>
      </c>
      <c r="Y18" s="131">
        <v>13000</v>
      </c>
    </row>
    <row r="19" spans="1:26">
      <c r="A19" s="1">
        <v>17</v>
      </c>
      <c r="B19" t="s">
        <v>492</v>
      </c>
      <c r="C19" s="6"/>
      <c r="D19" s="15">
        <v>7753</v>
      </c>
      <c r="E19" s="6"/>
      <c r="F19" s="15">
        <v>12991</v>
      </c>
      <c r="G19" s="6"/>
      <c r="H19" s="66">
        <f>'DT 2021'!D16</f>
        <v>5660</v>
      </c>
      <c r="I19" s="67"/>
      <c r="J19" s="14">
        <v>6611</v>
      </c>
      <c r="K19" s="13"/>
      <c r="L19" s="91" t="e">
        <f>GETPIVOTDATA("Som van 2022",'Draaitabel 2024'!$A$1,"Categorie","Projecten en VO")</f>
        <v>#REF!</v>
      </c>
      <c r="M19" s="92"/>
      <c r="N19" s="110">
        <v>2000</v>
      </c>
      <c r="O19" s="110"/>
      <c r="P19" s="91">
        <f>VLOOKUP(B19,'Draaitabel 2024'!A:C,2,1)</f>
        <v>-661.22</v>
      </c>
      <c r="Q19" s="118"/>
      <c r="R19" s="110">
        <v>2000</v>
      </c>
      <c r="S19" s="126"/>
      <c r="T19" s="110">
        <v>2000</v>
      </c>
      <c r="U19" s="126"/>
      <c r="V19" s="110">
        <v>2000</v>
      </c>
      <c r="W19" s="126"/>
      <c r="X19" s="110">
        <v>2000</v>
      </c>
      <c r="Y19" s="110"/>
      <c r="Z19" t="s">
        <v>493</v>
      </c>
    </row>
    <row r="20" spans="1:26">
      <c r="A20" s="1">
        <v>9</v>
      </c>
      <c r="B20" t="s">
        <v>64</v>
      </c>
      <c r="C20" s="6" t="s">
        <v>43</v>
      </c>
      <c r="D20" s="15">
        <v>8514</v>
      </c>
      <c r="E20" s="6"/>
      <c r="F20" s="15">
        <v>7579</v>
      </c>
      <c r="G20" s="6"/>
      <c r="H20" s="66">
        <f>'DT 2021'!D22</f>
        <v>5313</v>
      </c>
      <c r="I20" s="67"/>
      <c r="J20" s="14">
        <v>8289.26</v>
      </c>
      <c r="K20" s="13"/>
      <c r="L20" s="91" t="e">
        <f>GETPIVOTDATA("Som van 2022",'Draaitabel 2024'!$A$1,"Categorie","Training CJT,CAT,CPT en CMT")</f>
        <v>#REF!</v>
      </c>
      <c r="M20" s="92"/>
      <c r="N20" s="110">
        <v>2500</v>
      </c>
      <c r="O20" s="110"/>
      <c r="P20" s="91">
        <f>VLOOKUP(B20,'Draaitabel 2024'!A:C,2,1)</f>
        <v>1462.19</v>
      </c>
      <c r="Q20" s="118"/>
      <c r="R20" s="110"/>
      <c r="S20" s="132">
        <v>3000</v>
      </c>
      <c r="T20" s="110"/>
      <c r="U20" s="132">
        <v>3000</v>
      </c>
      <c r="V20" s="110"/>
      <c r="W20" s="132">
        <v>3300</v>
      </c>
      <c r="X20" s="110"/>
      <c r="Y20" s="131">
        <v>3300</v>
      </c>
    </row>
    <row r="21" spans="1:26">
      <c r="A21" s="1">
        <v>10</v>
      </c>
      <c r="B21" t="s">
        <v>63</v>
      </c>
      <c r="C21" s="6"/>
      <c r="D21" s="15">
        <v>7494</v>
      </c>
      <c r="E21" s="6"/>
      <c r="F21" s="15">
        <v>7494</v>
      </c>
      <c r="G21" s="6"/>
      <c r="H21" s="66">
        <f>'DT 2021'!D7</f>
        <v>7309</v>
      </c>
      <c r="I21" s="67"/>
      <c r="J21" s="14">
        <v>7500</v>
      </c>
      <c r="K21" s="13"/>
      <c r="L21" s="91" t="e">
        <f>GETPIVOTDATA("Som van 2022",'Draaitabel 2024'!$A$1,"Categorie","Huur bondsbureau")</f>
        <v>#REF!</v>
      </c>
      <c r="M21" s="92"/>
      <c r="N21" s="110">
        <v>4300</v>
      </c>
      <c r="O21" s="110"/>
      <c r="P21" s="91">
        <f>VLOOKUP(B21,'Draaitabel 2024'!A:C,2,1)</f>
        <v>0</v>
      </c>
      <c r="Q21" s="118"/>
      <c r="R21" s="110"/>
      <c r="S21" s="126"/>
      <c r="T21" s="110"/>
      <c r="U21" s="126"/>
      <c r="V21" s="110"/>
      <c r="W21" s="126"/>
      <c r="X21" s="110"/>
      <c r="Y21" s="110"/>
    </row>
    <row r="22" spans="1:26">
      <c r="A22" s="1">
        <v>16</v>
      </c>
      <c r="B22" t="s">
        <v>61</v>
      </c>
      <c r="C22" s="6" t="s">
        <v>60</v>
      </c>
      <c r="D22" s="15">
        <v>3976</v>
      </c>
      <c r="E22" s="6"/>
      <c r="F22" s="15">
        <v>4118</v>
      </c>
      <c r="G22" s="6"/>
      <c r="H22" s="66">
        <f>'DT 2021'!D10</f>
        <v>3341</v>
      </c>
      <c r="I22" s="67"/>
      <c r="J22" s="14">
        <v>4027</v>
      </c>
      <c r="K22" s="13"/>
      <c r="L22" s="91" t="e">
        <f>GETPIVOTDATA("Som van 2022",'Draaitabel 2024'!$A$1,"Categorie","Internet")</f>
        <v>#REF!</v>
      </c>
      <c r="M22" s="92"/>
      <c r="N22" s="110">
        <v>3000</v>
      </c>
      <c r="O22" s="110"/>
      <c r="P22" s="91">
        <f>VLOOKUP(B22,'Draaitabel 2024'!A:C,2,1)</f>
        <v>6511.78</v>
      </c>
      <c r="Q22" s="118"/>
      <c r="R22" s="110">
        <v>3000</v>
      </c>
      <c r="S22" s="126"/>
      <c r="T22" s="110">
        <v>3125</v>
      </c>
      <c r="U22" s="126"/>
      <c r="V22" s="110">
        <v>3125</v>
      </c>
      <c r="W22" s="126"/>
      <c r="X22" s="110">
        <v>3250</v>
      </c>
      <c r="Y22" s="110"/>
    </row>
    <row r="23" spans="1:26">
      <c r="A23" s="1">
        <v>20</v>
      </c>
      <c r="B23" t="s">
        <v>59</v>
      </c>
      <c r="C23" s="6"/>
      <c r="D23" s="15">
        <v>3512</v>
      </c>
      <c r="E23" s="6"/>
      <c r="F23" s="15">
        <v>3148</v>
      </c>
      <c r="G23" s="6"/>
      <c r="H23" s="66">
        <f>'DT 2021'!D17</f>
        <v>4004</v>
      </c>
      <c r="I23" s="67"/>
      <c r="J23" s="14">
        <v>3500</v>
      </c>
      <c r="K23" s="13"/>
      <c r="L23" s="91" t="e">
        <f>GETPIVOTDATA("Som van 2022",'Draaitabel 2024'!$A$1,"Categorie","Promotie")</f>
        <v>#REF!</v>
      </c>
      <c r="M23" s="92"/>
      <c r="N23" s="110">
        <v>2500</v>
      </c>
      <c r="O23" s="110">
        <v>5000</v>
      </c>
      <c r="P23" s="91">
        <f>VLOOKUP(B23,'Draaitabel 2024'!A:C,2,1)</f>
        <v>206.75</v>
      </c>
      <c r="Q23" s="118"/>
      <c r="R23" s="110">
        <v>5000</v>
      </c>
      <c r="S23" s="132">
        <v>8750</v>
      </c>
      <c r="T23" s="110">
        <v>5000</v>
      </c>
      <c r="U23" s="132">
        <v>5250</v>
      </c>
      <c r="V23" s="110">
        <v>3000</v>
      </c>
      <c r="W23" s="132">
        <v>3625</v>
      </c>
      <c r="X23" s="110">
        <v>1500</v>
      </c>
      <c r="Y23" s="131">
        <v>1500</v>
      </c>
    </row>
    <row r="24" spans="1:26">
      <c r="A24" s="1">
        <v>18</v>
      </c>
      <c r="B24" t="s">
        <v>58</v>
      </c>
      <c r="C24" s="6" t="s">
        <v>57</v>
      </c>
      <c r="D24" s="15">
        <v>6196</v>
      </c>
      <c r="E24" s="6"/>
      <c r="F24" s="15">
        <v>2110</v>
      </c>
      <c r="G24" s="6"/>
      <c r="H24" s="66">
        <f>'DT 2021'!D3</f>
        <v>3634</v>
      </c>
      <c r="I24" s="67"/>
      <c r="J24" s="14">
        <v>3700</v>
      </c>
      <c r="K24" s="13"/>
      <c r="L24" s="91" t="e">
        <f>GETPIVOTDATA("Som van 2022",'Draaitabel 2024'!$A$1,"Categorie","Bestuur/BR/commissies")</f>
        <v>#REF!</v>
      </c>
      <c r="M24" s="92"/>
      <c r="N24" s="110">
        <v>10000</v>
      </c>
      <c r="O24" s="110"/>
      <c r="P24" s="91">
        <f>VLOOKUP(B24,'Draaitabel 2024'!A:C,2,1)</f>
        <v>3452.05</v>
      </c>
      <c r="Q24" s="118"/>
      <c r="R24" s="110">
        <v>10000</v>
      </c>
      <c r="S24" s="126"/>
      <c r="T24" s="110">
        <v>10000</v>
      </c>
      <c r="U24" s="126"/>
      <c r="V24" s="110">
        <v>10000</v>
      </c>
      <c r="W24" s="126"/>
      <c r="X24" s="110">
        <v>10000</v>
      </c>
      <c r="Y24" s="110"/>
      <c r="Z24" t="s">
        <v>494</v>
      </c>
    </row>
    <row r="25" spans="1:26">
      <c r="A25" s="1">
        <v>13</v>
      </c>
      <c r="B25" t="s">
        <v>56</v>
      </c>
      <c r="C25" s="6"/>
      <c r="D25" s="15">
        <v>5292</v>
      </c>
      <c r="E25" s="6"/>
      <c r="F25" s="15">
        <v>1626</v>
      </c>
      <c r="G25" s="6"/>
      <c r="H25" s="66">
        <f>'DT 2021'!D2</f>
        <v>651</v>
      </c>
      <c r="I25" s="67"/>
      <c r="J25" s="14">
        <v>413</v>
      </c>
      <c r="K25" s="13"/>
      <c r="L25" s="91" t="e">
        <f>GETPIVOTDATA("Som van 2022",'Draaitabel 2024'!$A$1,"Categorie","afschrijvingen")</f>
        <v>#REF!</v>
      </c>
      <c r="M25" s="92"/>
      <c r="N25" s="110">
        <v>0</v>
      </c>
      <c r="O25" s="110"/>
      <c r="P25" s="91">
        <f>VLOOKUP(B25,'Draaitabel 2024'!A:C,2,1)</f>
        <v>0</v>
      </c>
      <c r="Q25" s="118"/>
      <c r="R25" s="110">
        <v>0</v>
      </c>
      <c r="S25" s="126"/>
      <c r="T25" s="110">
        <v>0</v>
      </c>
      <c r="U25" s="126"/>
      <c r="V25" s="110">
        <v>0</v>
      </c>
      <c r="W25" s="126"/>
      <c r="X25" s="110">
        <v>0</v>
      </c>
      <c r="Y25" s="110"/>
    </row>
    <row r="26" spans="1:26">
      <c r="A26" s="1">
        <v>19</v>
      </c>
      <c r="B26" t="s">
        <v>54</v>
      </c>
      <c r="C26" s="6"/>
      <c r="D26" s="15">
        <v>2434</v>
      </c>
      <c r="E26" s="6"/>
      <c r="F26" s="15">
        <v>117</v>
      </c>
      <c r="G26" s="6"/>
      <c r="H26" s="66">
        <f>'DT 2021'!D19</f>
        <v>0</v>
      </c>
      <c r="I26" s="67"/>
      <c r="J26" s="14">
        <v>3000</v>
      </c>
      <c r="K26" s="13"/>
      <c r="L26" s="91" t="e">
        <f>GETPIVOTDATA("Som van 2022",'Draaitabel 2024'!$A$1,"Categorie","Schooldammen")</f>
        <v>#REF!</v>
      </c>
      <c r="M26" s="92"/>
      <c r="N26" s="110">
        <v>3000</v>
      </c>
      <c r="O26" s="110"/>
      <c r="P26" s="91">
        <f>VLOOKUP(B26,'Draaitabel 2024'!A:C,2,1)</f>
        <v>2425.91</v>
      </c>
      <c r="Q26" s="118"/>
      <c r="R26" s="110">
        <v>3000</v>
      </c>
      <c r="S26" s="126"/>
      <c r="T26" s="110">
        <v>3000</v>
      </c>
      <c r="U26" s="126"/>
      <c r="V26" s="110">
        <v>3000</v>
      </c>
      <c r="W26" s="126"/>
      <c r="X26" s="110">
        <v>3000</v>
      </c>
      <c r="Y26" s="110"/>
    </row>
    <row r="27" spans="1:26">
      <c r="A27" s="1">
        <v>14</v>
      </c>
      <c r="B27" t="s">
        <v>53</v>
      </c>
      <c r="C27" s="6" t="s">
        <v>43</v>
      </c>
      <c r="D27" s="15">
        <v>5215</v>
      </c>
      <c r="E27" s="6"/>
      <c r="F27" s="15">
        <v>291</v>
      </c>
      <c r="G27" s="6"/>
      <c r="H27" s="66">
        <f>'DT 2021'!D13</f>
        <v>3986</v>
      </c>
      <c r="I27" s="67"/>
      <c r="J27" s="14">
        <v>7950</v>
      </c>
      <c r="K27" s="13"/>
      <c r="L27" s="91" t="e">
        <f>GETPIVOTDATA("Som van 2022",'Draaitabel 2024'!$A$1,"Categorie","Nationale Jeugdwedstrijden")</f>
        <v>#REF!</v>
      </c>
      <c r="M27" s="92"/>
      <c r="N27" s="110">
        <v>8000</v>
      </c>
      <c r="O27" s="110"/>
      <c r="P27" s="91">
        <f>VLOOKUP(B27,'Draaitabel 2024'!A:C,2,1)</f>
        <v>3914.0499999999997</v>
      </c>
      <c r="Q27" s="118"/>
      <c r="R27" s="110">
        <v>8000</v>
      </c>
      <c r="S27" s="126"/>
      <c r="T27" s="110">
        <v>8000</v>
      </c>
      <c r="U27" s="126"/>
      <c r="V27" s="110">
        <v>8000</v>
      </c>
      <c r="W27" s="126"/>
      <c r="X27" s="110">
        <v>8000</v>
      </c>
      <c r="Y27" s="110"/>
    </row>
    <row r="28" spans="1:26">
      <c r="A28" s="1">
        <v>11</v>
      </c>
      <c r="B28" t="s">
        <v>52</v>
      </c>
      <c r="C28" s="6" t="s">
        <v>43</v>
      </c>
      <c r="D28" s="15">
        <v>7576</v>
      </c>
      <c r="E28" s="6"/>
      <c r="F28" s="15">
        <v>2480</v>
      </c>
      <c r="G28" s="6"/>
      <c r="H28" s="66">
        <f>'DT 2021'!D8</f>
        <v>6776</v>
      </c>
      <c r="I28" s="67"/>
      <c r="J28" s="14">
        <v>8000</v>
      </c>
      <c r="K28" s="13"/>
      <c r="L28" s="91" t="e">
        <f>GETPIVOTDATA("Som van 2022",'Draaitabel 2024'!$A$1,"Categorie","Internationale Jeugdwedst")</f>
        <v>#REF!</v>
      </c>
      <c r="M28" s="92"/>
      <c r="N28" s="110">
        <v>10000</v>
      </c>
      <c r="O28" s="110"/>
      <c r="P28" s="91">
        <f>VLOOKUP(B28,'Draaitabel 2024'!A:C,2,1)-10000</f>
        <v>9769.2799999999988</v>
      </c>
      <c r="Q28" s="118"/>
      <c r="R28" s="110"/>
      <c r="S28" s="132">
        <v>9500</v>
      </c>
      <c r="T28" s="110"/>
      <c r="U28" s="132">
        <v>9500</v>
      </c>
      <c r="V28" s="110"/>
      <c r="W28" s="132">
        <v>9500</v>
      </c>
      <c r="X28" s="110"/>
      <c r="Y28" s="131">
        <v>9500</v>
      </c>
    </row>
    <row r="29" spans="1:26">
      <c r="A29" s="1">
        <v>21</v>
      </c>
      <c r="B29" t="s">
        <v>51</v>
      </c>
      <c r="C29" s="6"/>
      <c r="D29" s="15">
        <v>0</v>
      </c>
      <c r="E29" s="6"/>
      <c r="F29" s="15">
        <v>-3000</v>
      </c>
      <c r="G29" s="6"/>
      <c r="H29" s="66">
        <f>'DT 2021'!D4</f>
        <v>3377</v>
      </c>
      <c r="I29" s="67"/>
      <c r="J29" s="14"/>
      <c r="K29" s="13"/>
      <c r="L29" s="91"/>
      <c r="M29" s="92" t="e">
        <f>GETPIVOTDATA("Som van 2022",'Draaitabel 2024'!$A$1,"Categorie","Bijzondere baten en lasten")</f>
        <v>#REF!</v>
      </c>
      <c r="N29" s="110"/>
      <c r="O29" s="110"/>
      <c r="P29" s="91"/>
      <c r="Q29" s="118"/>
      <c r="R29" s="110"/>
      <c r="S29" s="126"/>
      <c r="T29" s="110"/>
      <c r="U29" s="126"/>
      <c r="V29" s="110"/>
      <c r="W29" s="126"/>
      <c r="X29" s="110"/>
      <c r="Y29" s="110"/>
    </row>
    <row r="30" spans="1:26">
      <c r="A30" s="1">
        <v>23</v>
      </c>
      <c r="B30" t="s">
        <v>481</v>
      </c>
      <c r="C30" s="6"/>
      <c r="D30" s="15"/>
      <c r="E30" s="6"/>
      <c r="F30" s="15"/>
      <c r="G30" s="6"/>
      <c r="H30" s="66"/>
      <c r="I30" s="67"/>
      <c r="J30" s="14">
        <v>0</v>
      </c>
      <c r="K30" s="13"/>
      <c r="L30" s="91"/>
      <c r="M30" s="92"/>
      <c r="N30" s="110">
        <v>8140</v>
      </c>
      <c r="O30" s="110"/>
      <c r="P30" s="91">
        <v>0</v>
      </c>
      <c r="Q30" s="118"/>
      <c r="R30" s="110">
        <v>8140</v>
      </c>
      <c r="S30" s="126"/>
      <c r="T30" s="110"/>
      <c r="U30" s="126"/>
      <c r="V30" s="110"/>
      <c r="W30" s="126"/>
      <c r="X30" s="110"/>
      <c r="Y30" s="110"/>
      <c r="Z30" t="s">
        <v>495</v>
      </c>
    </row>
    <row r="31" spans="1:26">
      <c r="A31" s="1">
        <v>22</v>
      </c>
      <c r="B31" t="s">
        <v>48</v>
      </c>
      <c r="C31" s="6" t="s">
        <v>47</v>
      </c>
      <c r="D31" s="15"/>
      <c r="E31" s="6">
        <f>2792.5+6050</f>
        <v>8842.5</v>
      </c>
      <c r="F31" s="15"/>
      <c r="G31" s="6">
        <v>7533</v>
      </c>
      <c r="H31" s="66"/>
      <c r="I31" s="67">
        <f>'DT 2021'!D12</f>
        <v>6050</v>
      </c>
      <c r="J31" s="14"/>
      <c r="K31" s="13">
        <v>7171.9</v>
      </c>
      <c r="L31" s="91"/>
      <c r="M31" s="92" t="e">
        <f>GETPIVOTDATA("Som van 2022",'Draaitabel 2024'!$A$1,"Categorie","Kantoorkosten (topsport)")</f>
        <v>#REF!</v>
      </c>
      <c r="N31" s="110"/>
      <c r="O31" s="110">
        <v>9625</v>
      </c>
      <c r="P31" s="91"/>
      <c r="Q31" s="118">
        <f>VLOOKUP(B31,'Draaitabel 2024'!A:C,2,1)</f>
        <v>8100</v>
      </c>
      <c r="R31" s="132">
        <f>7500*1.15+1000</f>
        <v>9625</v>
      </c>
      <c r="S31" s="126"/>
      <c r="T31" s="131">
        <f>R31*1.03-14</f>
        <v>9899.75</v>
      </c>
      <c r="U31" s="126"/>
      <c r="V31" s="131">
        <f>T31*1.03+3</f>
        <v>10199.7425</v>
      </c>
      <c r="W31" s="126">
        <f>U31*1.05</f>
        <v>0</v>
      </c>
      <c r="X31" s="131">
        <f>V31*1.03-6</f>
        <v>10499.734775000001</v>
      </c>
      <c r="Y31" s="110"/>
    </row>
    <row r="32" spans="1:26">
      <c r="A32" s="1">
        <v>12</v>
      </c>
      <c r="B32" t="s">
        <v>46</v>
      </c>
      <c r="C32" s="6" t="s">
        <v>45</v>
      </c>
      <c r="D32" s="15"/>
      <c r="E32" s="6">
        <v>6621</v>
      </c>
      <c r="F32" s="15"/>
      <c r="G32" s="6">
        <v>1048</v>
      </c>
      <c r="H32" s="66"/>
      <c r="I32" s="67">
        <f>'DT 2021'!D9</f>
        <v>9701</v>
      </c>
      <c r="J32" s="14"/>
      <c r="K32" s="13">
        <v>4000</v>
      </c>
      <c r="L32" s="91"/>
      <c r="M32" s="92" t="e">
        <f>GETPIVOTDATA("Som van 2022",'Draaitabel 2024'!$A$1,"Categorie","Internationale wedst Senioren")</f>
        <v>#REF!</v>
      </c>
      <c r="N32" s="110"/>
      <c r="O32" s="110">
        <v>7000</v>
      </c>
      <c r="P32" s="91"/>
      <c r="Q32" s="118">
        <f>VLOOKUP(B32,'Draaitabel 2024'!A:C,2,1)</f>
        <v>20251.390000000003</v>
      </c>
      <c r="R32" s="110"/>
      <c r="S32" s="132">
        <v>5000</v>
      </c>
      <c r="T32" s="110"/>
      <c r="U32" s="132">
        <v>5000</v>
      </c>
      <c r="V32" s="110"/>
      <c r="W32" s="132">
        <v>5000</v>
      </c>
      <c r="X32" s="110"/>
      <c r="Y32" s="131">
        <v>5000</v>
      </c>
    </row>
    <row r="33" spans="1:26">
      <c r="A33" s="1">
        <v>15</v>
      </c>
      <c r="B33" t="s">
        <v>44</v>
      </c>
      <c r="C33" s="6" t="s">
        <v>43</v>
      </c>
      <c r="D33" s="15"/>
      <c r="E33" s="6">
        <v>2161</v>
      </c>
      <c r="F33" s="15"/>
      <c r="G33" s="6">
        <v>11275</v>
      </c>
      <c r="H33" s="66"/>
      <c r="I33" s="67">
        <f>'DT 2021'!D21</f>
        <v>-1499</v>
      </c>
      <c r="J33" s="14"/>
      <c r="K33" s="13">
        <v>8579</v>
      </c>
      <c r="L33" s="91"/>
      <c r="M33" s="92" t="e">
        <f>GETPIVOTDATA("Som van 2022",'Draaitabel 2024'!$A$1,"Categorie","Topsport")</f>
        <v>#REF!</v>
      </c>
      <c r="N33" s="110"/>
      <c r="O33" s="110">
        <v>7000</v>
      </c>
      <c r="P33" s="91"/>
      <c r="Q33" s="118">
        <f>VLOOKUP(B33,'Draaitabel 2024'!A:C,2,1)</f>
        <v>12031.81</v>
      </c>
      <c r="R33" s="110"/>
      <c r="S33" s="132">
        <v>4270</v>
      </c>
      <c r="T33" s="110"/>
      <c r="U33" s="132">
        <v>4425</v>
      </c>
      <c r="V33" s="110"/>
      <c r="W33" s="132">
        <v>4575</v>
      </c>
      <c r="X33" s="110"/>
      <c r="Y33" s="131">
        <v>5150</v>
      </c>
    </row>
    <row r="34" spans="1:26">
      <c r="A34" s="1">
        <v>16</v>
      </c>
      <c r="B34" t="s">
        <v>468</v>
      </c>
      <c r="C34" s="6"/>
      <c r="D34" s="15"/>
      <c r="E34" s="6"/>
      <c r="F34" s="15"/>
      <c r="G34" s="6"/>
      <c r="H34" s="15"/>
      <c r="I34" s="6"/>
      <c r="J34" s="14"/>
      <c r="K34" s="13"/>
      <c r="L34" s="91"/>
      <c r="M34" s="92"/>
      <c r="N34" s="110">
        <v>5000</v>
      </c>
      <c r="O34" s="110"/>
      <c r="P34" s="91">
        <v>0</v>
      </c>
      <c r="Q34" s="120"/>
      <c r="R34" s="110"/>
      <c r="S34" s="126"/>
      <c r="T34" s="110"/>
      <c r="U34" s="126"/>
      <c r="V34" s="110"/>
      <c r="W34" s="126"/>
      <c r="X34" s="110"/>
      <c r="Y34" s="110"/>
      <c r="Z34" t="s">
        <v>578</v>
      </c>
    </row>
    <row r="35" spans="1:26">
      <c r="A35" s="22"/>
      <c r="B35" s="21" t="s">
        <v>42</v>
      </c>
      <c r="C35" s="20"/>
      <c r="D35" s="19">
        <f t="shared" ref="D35:S35" si="8">SUM(D15:D34)</f>
        <v>180496.5</v>
      </c>
      <c r="E35" s="18">
        <f t="shared" si="8"/>
        <v>179029.73</v>
      </c>
      <c r="F35" s="19">
        <f t="shared" si="8"/>
        <v>157707</v>
      </c>
      <c r="G35" s="18">
        <f t="shared" si="8"/>
        <v>191322</v>
      </c>
      <c r="H35" s="19">
        <f t="shared" ref="H35" si="9">SUM(H15:H34)</f>
        <v>167869.19</v>
      </c>
      <c r="I35" s="18">
        <f t="shared" ref="I35" si="10">SUM(I15:I34)</f>
        <v>158352.81</v>
      </c>
      <c r="J35" s="17">
        <f t="shared" ref="J35:K35" si="11">SUM(J15:J34)</f>
        <v>168364.78</v>
      </c>
      <c r="K35" s="16">
        <f t="shared" si="11"/>
        <v>175799.47999999998</v>
      </c>
      <c r="L35" s="94" t="e">
        <f t="shared" ref="L35" si="12">SUM(L15:L34)</f>
        <v>#REF!</v>
      </c>
      <c r="M35" s="95" t="e">
        <f t="shared" ref="M35" si="13">SUM(M15:M34)</f>
        <v>#REF!</v>
      </c>
      <c r="N35" s="17">
        <f t="shared" si="8"/>
        <v>183460</v>
      </c>
      <c r="O35" s="16">
        <f t="shared" si="8"/>
        <v>189096.49999999997</v>
      </c>
      <c r="P35" s="94">
        <f t="shared" ref="P35:Q35" si="14">SUM(P15:P34)</f>
        <v>261322.67999999996</v>
      </c>
      <c r="Q35" s="95">
        <f t="shared" si="14"/>
        <v>40383.200000000004</v>
      </c>
      <c r="R35" s="17">
        <f t="shared" si="8"/>
        <v>164765</v>
      </c>
      <c r="S35" s="128">
        <f t="shared" si="8"/>
        <v>246270</v>
      </c>
      <c r="T35" s="16">
        <f t="shared" ref="T35:Y35" si="15">SUM(T15:T34)</f>
        <v>160024.75</v>
      </c>
      <c r="U35" s="128">
        <f t="shared" si="15"/>
        <v>252650</v>
      </c>
      <c r="V35" s="16">
        <f t="shared" si="15"/>
        <v>160174.24249999999</v>
      </c>
      <c r="W35" s="128">
        <f t="shared" si="15"/>
        <v>261700</v>
      </c>
      <c r="X35" s="16">
        <f t="shared" si="15"/>
        <v>159999.97227499998</v>
      </c>
      <c r="Y35" s="16">
        <f t="shared" si="15"/>
        <v>268500</v>
      </c>
    </row>
    <row r="36" spans="1:26">
      <c r="A36" s="27"/>
      <c r="B36" s="4"/>
      <c r="C36" s="6"/>
      <c r="D36" s="26"/>
      <c r="E36" s="25"/>
      <c r="F36" s="26"/>
      <c r="G36" s="25"/>
      <c r="H36" s="26"/>
      <c r="I36" s="25"/>
      <c r="J36" s="24"/>
      <c r="K36" s="23"/>
      <c r="L36" s="96"/>
      <c r="M36" s="97"/>
      <c r="N36" s="24"/>
      <c r="O36" s="23"/>
      <c r="P36" s="96"/>
      <c r="Q36" s="97"/>
      <c r="R36" s="24"/>
      <c r="S36" s="129"/>
      <c r="T36" s="23"/>
      <c r="U36" s="129"/>
      <c r="V36" s="23"/>
      <c r="W36" s="129"/>
      <c r="X36" s="23"/>
      <c r="Y36" s="23"/>
    </row>
    <row r="37" spans="1:26">
      <c r="A37" s="22"/>
      <c r="B37" s="21" t="s">
        <v>41</v>
      </c>
      <c r="C37" s="20"/>
      <c r="D37" s="19">
        <f t="shared" ref="D37:S37" si="16">+D13-D35</f>
        <v>-6350.5</v>
      </c>
      <c r="E37" s="18">
        <f t="shared" si="16"/>
        <v>11996.26999999999</v>
      </c>
      <c r="F37" s="19">
        <f t="shared" si="16"/>
        <v>1912</v>
      </c>
      <c r="G37" s="18">
        <f t="shared" si="16"/>
        <v>-5165</v>
      </c>
      <c r="H37" s="19">
        <f t="shared" ref="H37:M37" si="17">+H13-H35</f>
        <v>-8640.1900000000023</v>
      </c>
      <c r="I37" s="18">
        <f t="shared" si="17"/>
        <v>26219.190000000002</v>
      </c>
      <c r="J37" s="17">
        <f t="shared" si="17"/>
        <v>-12829.779999999999</v>
      </c>
      <c r="K37" s="16">
        <f t="shared" si="17"/>
        <v>-124.47999999998137</v>
      </c>
      <c r="L37" s="94" t="e">
        <f t="shared" si="17"/>
        <v>#REF!</v>
      </c>
      <c r="M37" s="95" t="e">
        <f t="shared" si="17"/>
        <v>#REF!</v>
      </c>
      <c r="N37" s="17">
        <f t="shared" si="16"/>
        <v>-19664.440000000002</v>
      </c>
      <c r="O37" s="16">
        <f t="shared" si="16"/>
        <v>20376.500000000029</v>
      </c>
      <c r="P37" s="94">
        <f t="shared" si="16"/>
        <v>61809.560000000027</v>
      </c>
      <c r="Q37" s="95">
        <f t="shared" si="16"/>
        <v>180886.8</v>
      </c>
      <c r="R37" s="17">
        <f t="shared" si="16"/>
        <v>3875.4500000000116</v>
      </c>
      <c r="S37" s="128">
        <f t="shared" si="16"/>
        <v>0</v>
      </c>
      <c r="T37" s="16">
        <f t="shared" ref="T37:Y37" si="18">+T13-T35</f>
        <v>1975.0999999999767</v>
      </c>
      <c r="U37" s="128">
        <f t="shared" si="18"/>
        <v>0</v>
      </c>
      <c r="V37" s="16">
        <f t="shared" si="18"/>
        <v>1326.0325000000012</v>
      </c>
      <c r="W37" s="128">
        <f t="shared" si="18"/>
        <v>0</v>
      </c>
      <c r="X37" s="16">
        <f t="shared" si="18"/>
        <v>299.72772500003339</v>
      </c>
      <c r="Y37" s="16">
        <f t="shared" si="18"/>
        <v>0</v>
      </c>
    </row>
    <row r="38" spans="1:26">
      <c r="A38" s="1"/>
      <c r="C38" s="6"/>
      <c r="D38" s="15"/>
      <c r="E38" s="6"/>
      <c r="F38" s="15"/>
      <c r="G38" s="6"/>
      <c r="H38" s="15"/>
      <c r="I38" s="6"/>
      <c r="J38" s="14"/>
      <c r="K38" s="13"/>
      <c r="L38" s="91"/>
      <c r="M38" s="92"/>
      <c r="N38" s="14"/>
      <c r="O38" s="13"/>
      <c r="P38" s="91"/>
      <c r="Q38" s="92"/>
      <c r="R38" s="14"/>
      <c r="S38" s="130"/>
      <c r="T38" s="13"/>
      <c r="U38" s="130"/>
      <c r="V38" s="13"/>
      <c r="W38" s="130"/>
      <c r="X38" s="13"/>
      <c r="Y38" s="13"/>
    </row>
    <row r="39" spans="1:26" ht="15.75" thickBot="1">
      <c r="A39" s="1"/>
      <c r="B39" s="4" t="s">
        <v>40</v>
      </c>
      <c r="C39" s="5"/>
      <c r="D39" s="5"/>
      <c r="E39" s="11">
        <f>+E37+D37</f>
        <v>5645.7699999999895</v>
      </c>
      <c r="F39" s="12"/>
      <c r="G39" s="11">
        <f>+G37+F37</f>
        <v>-3253</v>
      </c>
      <c r="H39" s="12"/>
      <c r="I39" s="11">
        <f>+I37+H37</f>
        <v>17579</v>
      </c>
      <c r="J39" s="9"/>
      <c r="K39" s="10">
        <f>+K37+J37</f>
        <v>-12954.25999999998</v>
      </c>
      <c r="L39" s="98"/>
      <c r="M39" s="99" t="e">
        <f>+M37+L37</f>
        <v>#REF!</v>
      </c>
      <c r="N39" s="9"/>
      <c r="O39" s="10">
        <f>+O37+N37</f>
        <v>712.06000000002678</v>
      </c>
      <c r="P39" s="98"/>
      <c r="Q39" s="99">
        <f>+Q37+P37</f>
        <v>242696.36000000002</v>
      </c>
      <c r="R39" s="9"/>
      <c r="S39" s="10">
        <f>+S37+R37</f>
        <v>3875.4500000000116</v>
      </c>
      <c r="T39" s="9"/>
      <c r="U39" s="10">
        <f>+U37+T37</f>
        <v>1975.0999999999767</v>
      </c>
      <c r="V39" s="9"/>
      <c r="W39" s="10">
        <f>+W37+V37</f>
        <v>1326.0325000000012</v>
      </c>
      <c r="X39" s="9"/>
      <c r="Y39" s="8">
        <f>+Y37+X37</f>
        <v>299.72772500003339</v>
      </c>
    </row>
    <row r="40" spans="1:26" ht="15.75" thickTop="1"/>
    <row r="41" spans="1:26">
      <c r="B41" t="s">
        <v>469</v>
      </c>
      <c r="C41" t="s">
        <v>470</v>
      </c>
      <c r="N41" s="111">
        <v>5000</v>
      </c>
      <c r="R41" s="111"/>
    </row>
    <row r="42" spans="1:26">
      <c r="C42" t="s">
        <v>471</v>
      </c>
      <c r="N42" s="111">
        <v>5000</v>
      </c>
      <c r="R42" s="111"/>
    </row>
    <row r="43" spans="1:26">
      <c r="C43" t="s">
        <v>472</v>
      </c>
      <c r="N43" s="111">
        <v>7500</v>
      </c>
      <c r="R43" s="111"/>
    </row>
    <row r="44" spans="1:26">
      <c r="C44" t="s">
        <v>473</v>
      </c>
      <c r="N44" s="111">
        <v>5000</v>
      </c>
      <c r="R44" s="111"/>
    </row>
    <row r="45" spans="1:26">
      <c r="C45" t="s">
        <v>474</v>
      </c>
      <c r="R45" s="111"/>
    </row>
    <row r="46" spans="1:26">
      <c r="C46" t="s">
        <v>488</v>
      </c>
      <c r="R46" s="111"/>
    </row>
    <row r="47" spans="1:26" ht="15.75" thickBot="1">
      <c r="C47" t="s">
        <v>475</v>
      </c>
      <c r="N47" s="113">
        <v>22500</v>
      </c>
      <c r="R47" s="113">
        <f>SUM(R41:R46)</f>
        <v>0</v>
      </c>
    </row>
    <row r="48" spans="1:26" ht="15.75" thickTop="1">
      <c r="C48" s="100"/>
      <c r="N48" s="100"/>
    </row>
    <row r="49" spans="3:15">
      <c r="C49" s="100"/>
    </row>
    <row r="50" spans="3:15">
      <c r="C50" s="100"/>
    </row>
    <row r="51" spans="3:15">
      <c r="C51" s="100"/>
    </row>
    <row r="52" spans="3:15">
      <c r="C52" s="100"/>
      <c r="O52" s="112"/>
    </row>
    <row r="53" spans="3:15">
      <c r="C53" s="100"/>
    </row>
    <row r="54" spans="3:15">
      <c r="C54" s="100"/>
    </row>
    <row r="55" spans="3:15">
      <c r="C55" s="100"/>
    </row>
    <row r="56" spans="3:15">
      <c r="C56" s="114"/>
    </row>
    <row r="57" spans="3:15">
      <c r="C57" s="100"/>
    </row>
    <row r="58" spans="3:15">
      <c r="C58" s="100"/>
    </row>
    <row r="61" spans="3:15">
      <c r="C61" s="100"/>
    </row>
  </sheetData>
  <mergeCells count="11">
    <mergeCell ref="T3:U3"/>
    <mergeCell ref="V3:W3"/>
    <mergeCell ref="X3:Y3"/>
    <mergeCell ref="R3:S3"/>
    <mergeCell ref="H3:I3"/>
    <mergeCell ref="P3:Q3"/>
    <mergeCell ref="D3:E3"/>
    <mergeCell ref="F3:G3"/>
    <mergeCell ref="L3:M3"/>
    <mergeCell ref="N3:O3"/>
    <mergeCell ref="J3:K3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C10" sqref="C10"/>
    </sheetView>
  </sheetViews>
  <sheetFormatPr defaultRowHeight="15"/>
  <cols>
    <col min="1" max="1" width="15.7109375" bestFit="1" customWidth="1"/>
  </cols>
  <sheetData>
    <row r="1" spans="1:3">
      <c r="B1" t="s">
        <v>487</v>
      </c>
    </row>
    <row r="2" spans="1:3">
      <c r="A2" t="s">
        <v>482</v>
      </c>
      <c r="B2">
        <v>13000</v>
      </c>
      <c r="C2" t="s">
        <v>575</v>
      </c>
    </row>
    <row r="3" spans="1:3">
      <c r="A3" t="s">
        <v>483</v>
      </c>
      <c r="B3">
        <v>5000</v>
      </c>
    </row>
    <row r="4" spans="1:3">
      <c r="A4" t="s">
        <v>477</v>
      </c>
      <c r="B4">
        <f>375+150</f>
        <v>525</v>
      </c>
    </row>
    <row r="5" spans="1:3">
      <c r="A5" t="s">
        <v>484</v>
      </c>
      <c r="B5">
        <v>700</v>
      </c>
    </row>
    <row r="6" spans="1:3">
      <c r="A6" t="s">
        <v>485</v>
      </c>
      <c r="B6">
        <v>200</v>
      </c>
    </row>
    <row r="7" spans="1:3">
      <c r="A7" t="s">
        <v>486</v>
      </c>
      <c r="B7">
        <v>500</v>
      </c>
    </row>
    <row r="8" spans="1:3">
      <c r="A8" t="s">
        <v>479</v>
      </c>
      <c r="B8">
        <v>600</v>
      </c>
    </row>
    <row r="9" spans="1:3">
      <c r="A9" t="s">
        <v>478</v>
      </c>
      <c r="B9">
        <f>1000-25</f>
        <v>975</v>
      </c>
    </row>
    <row r="10" spans="1:3">
      <c r="A10" t="s">
        <v>579</v>
      </c>
      <c r="B10">
        <v>2500</v>
      </c>
    </row>
    <row r="11" spans="1:3">
      <c r="B11">
        <f>SUM(B2:B10)</f>
        <v>24000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"/>
  <sheetViews>
    <sheetView workbookViewId="0">
      <selection activeCell="A13" sqref="A13"/>
    </sheetView>
  </sheetViews>
  <sheetFormatPr defaultRowHeight="15"/>
  <sheetData>
    <row r="1" spans="1:3">
      <c r="A1" t="s">
        <v>115</v>
      </c>
      <c r="B1" t="s">
        <v>489</v>
      </c>
      <c r="C1" t="s">
        <v>490</v>
      </c>
    </row>
    <row r="2" spans="1:3">
      <c r="A2">
        <v>1.44</v>
      </c>
      <c r="B2">
        <v>3000</v>
      </c>
      <c r="C2">
        <f>A2*B2</f>
        <v>4320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N27" sqref="N27"/>
    </sheetView>
  </sheetViews>
  <sheetFormatPr defaultRowHeight="15"/>
  <cols>
    <col min="1" max="1" width="24.28515625" bestFit="1" customWidth="1"/>
    <col min="4" max="10" width="22.85546875" bestFit="1" customWidth="1"/>
    <col min="11" max="11" width="9.28515625" bestFit="1" customWidth="1"/>
    <col min="14" max="15" width="8.42578125" bestFit="1" customWidth="1"/>
    <col min="18" max="19" width="22.85546875" bestFit="1" customWidth="1"/>
  </cols>
  <sheetData>
    <row r="1" spans="1:16">
      <c r="C1" t="s">
        <v>456</v>
      </c>
      <c r="D1" t="s">
        <v>456</v>
      </c>
      <c r="I1" t="s">
        <v>457</v>
      </c>
      <c r="J1" t="s">
        <v>457</v>
      </c>
      <c r="K1" t="s">
        <v>457</v>
      </c>
      <c r="L1" t="s">
        <v>457</v>
      </c>
      <c r="M1" t="s">
        <v>457</v>
      </c>
      <c r="N1" t="s">
        <v>457</v>
      </c>
      <c r="O1" t="s">
        <v>457</v>
      </c>
      <c r="P1" t="s">
        <v>457</v>
      </c>
    </row>
    <row r="2" spans="1:16">
      <c r="A2" t="s">
        <v>455</v>
      </c>
      <c r="B2" s="57">
        <v>44378</v>
      </c>
      <c r="C2" s="57">
        <v>44562</v>
      </c>
      <c r="D2" s="57">
        <v>44743</v>
      </c>
      <c r="E2" s="57">
        <v>44927</v>
      </c>
      <c r="F2" s="57">
        <v>45108</v>
      </c>
      <c r="G2" s="57">
        <v>45292</v>
      </c>
      <c r="H2" s="57">
        <v>45474</v>
      </c>
      <c r="I2" s="57">
        <v>45658</v>
      </c>
      <c r="J2" s="57">
        <v>45839</v>
      </c>
      <c r="K2" s="57">
        <v>46023</v>
      </c>
      <c r="L2" s="57">
        <v>46204</v>
      </c>
      <c r="M2" s="57">
        <v>46388</v>
      </c>
      <c r="N2" s="57">
        <v>46569</v>
      </c>
      <c r="O2" s="57">
        <v>46753</v>
      </c>
      <c r="P2" s="57">
        <v>46935</v>
      </c>
    </row>
    <row r="3" spans="1:16">
      <c r="A3" t="s">
        <v>105</v>
      </c>
      <c r="C3">
        <v>19</v>
      </c>
      <c r="D3">
        <v>36</v>
      </c>
      <c r="E3">
        <f>46-7</f>
        <v>39</v>
      </c>
      <c r="F3">
        <f>140-7</f>
        <v>133</v>
      </c>
      <c r="G3">
        <f>95-6</f>
        <v>89</v>
      </c>
      <c r="H3">
        <f>134-6</f>
        <v>128</v>
      </c>
      <c r="I3">
        <v>125</v>
      </c>
      <c r="J3">
        <v>125</v>
      </c>
      <c r="K3">
        <v>125</v>
      </c>
      <c r="L3">
        <v>125</v>
      </c>
      <c r="M3">
        <v>125</v>
      </c>
      <c r="N3">
        <v>125</v>
      </c>
      <c r="O3">
        <v>125</v>
      </c>
      <c r="P3">
        <v>125</v>
      </c>
    </row>
    <row r="4" spans="1:16">
      <c r="A4" t="s">
        <v>108</v>
      </c>
      <c r="C4">
        <v>120</v>
      </c>
      <c r="D4">
        <v>100</v>
      </c>
      <c r="E4">
        <f>107-6</f>
        <v>101</v>
      </c>
      <c r="F4">
        <f>157-6</f>
        <v>151</v>
      </c>
      <c r="G4">
        <f>164-1</f>
        <v>163</v>
      </c>
      <c r="H4">
        <f>154-1</f>
        <v>153</v>
      </c>
      <c r="I4">
        <v>150</v>
      </c>
      <c r="J4">
        <v>150</v>
      </c>
      <c r="K4">
        <v>150</v>
      </c>
      <c r="L4">
        <v>150</v>
      </c>
      <c r="M4">
        <v>150</v>
      </c>
      <c r="N4">
        <v>150</v>
      </c>
      <c r="O4">
        <v>150</v>
      </c>
      <c r="P4">
        <v>150</v>
      </c>
    </row>
    <row r="5" spans="1:16">
      <c r="A5" t="s">
        <v>107</v>
      </c>
      <c r="C5">
        <v>104</v>
      </c>
      <c r="D5">
        <v>90</v>
      </c>
      <c r="E5">
        <f>121-18</f>
        <v>103</v>
      </c>
      <c r="F5">
        <f>108-18</f>
        <v>90</v>
      </c>
      <c r="G5">
        <f>116-18</f>
        <v>98</v>
      </c>
      <c r="H5">
        <f>106-18</f>
        <v>88</v>
      </c>
      <c r="I5">
        <v>80</v>
      </c>
      <c r="J5">
        <v>80</v>
      </c>
      <c r="K5">
        <v>80</v>
      </c>
      <c r="L5">
        <v>80</v>
      </c>
      <c r="M5">
        <v>80</v>
      </c>
      <c r="N5">
        <v>80</v>
      </c>
      <c r="O5">
        <v>80</v>
      </c>
      <c r="P5">
        <v>80</v>
      </c>
    </row>
    <row r="6" spans="1:16">
      <c r="A6" t="s">
        <v>106</v>
      </c>
      <c r="C6">
        <v>52</v>
      </c>
      <c r="D6">
        <v>45</v>
      </c>
      <c r="E6">
        <f>62-15</f>
        <v>47</v>
      </c>
      <c r="F6">
        <f>59-15</f>
        <v>44</v>
      </c>
      <c r="G6">
        <f>72-18</f>
        <v>54</v>
      </c>
      <c r="H6">
        <f>68-18</f>
        <v>50</v>
      </c>
      <c r="I6">
        <v>45</v>
      </c>
      <c r="J6">
        <v>45</v>
      </c>
      <c r="K6">
        <v>45</v>
      </c>
      <c r="L6">
        <v>45</v>
      </c>
      <c r="M6">
        <v>45</v>
      </c>
      <c r="N6">
        <v>45</v>
      </c>
      <c r="O6">
        <v>45</v>
      </c>
      <c r="P6">
        <v>45</v>
      </c>
    </row>
    <row r="7" spans="1:16">
      <c r="A7" t="s">
        <v>109</v>
      </c>
      <c r="C7">
        <f>3097-339</f>
        <v>2758</v>
      </c>
      <c r="D7">
        <f>3059-412</f>
        <v>2647</v>
      </c>
      <c r="E7">
        <f>3058-97-438</f>
        <v>2523</v>
      </c>
      <c r="F7">
        <f>3009-99-438</f>
        <v>2472</v>
      </c>
      <c r="G7">
        <f>3027-101-440</f>
        <v>2486</v>
      </c>
      <c r="H7">
        <f>2971-97-440</f>
        <v>2434</v>
      </c>
      <c r="I7">
        <f>ROUNDDOWN(H7*$H$11,0)+5</f>
        <v>2410</v>
      </c>
      <c r="J7">
        <f>ROUNDDOWN(I7*$H$11,0)+9</f>
        <v>2390</v>
      </c>
      <c r="K7">
        <f>ROUNDDOWN(J7*$H$11,0)+9</f>
        <v>2370</v>
      </c>
      <c r="L7">
        <f>ROUNDDOWN(K7*$H$11,0)+9</f>
        <v>2350</v>
      </c>
      <c r="M7">
        <f>ROUNDDOWN(L7*$H$11,0)+8</f>
        <v>2330</v>
      </c>
      <c r="N7">
        <f>ROUNDDOWN(M7*$H$11,0)+3</f>
        <v>2305</v>
      </c>
      <c r="O7">
        <f>ROUNDDOWN(N7*$H$11,0)+8</f>
        <v>2285</v>
      </c>
      <c r="P7">
        <f>ROUNDDOWN(O7*$H$11,0)+8</f>
        <v>2265</v>
      </c>
    </row>
    <row r="8" spans="1:16">
      <c r="A8" t="s">
        <v>497</v>
      </c>
      <c r="E8">
        <v>97</v>
      </c>
      <c r="F8">
        <v>99</v>
      </c>
      <c r="G8">
        <v>101</v>
      </c>
      <c r="H8">
        <v>97</v>
      </c>
      <c r="I8">
        <v>90</v>
      </c>
      <c r="J8">
        <v>90</v>
      </c>
      <c r="K8">
        <v>90</v>
      </c>
      <c r="L8">
        <v>90</v>
      </c>
      <c r="M8">
        <v>90</v>
      </c>
      <c r="N8">
        <v>90</v>
      </c>
      <c r="O8">
        <v>90</v>
      </c>
      <c r="P8">
        <v>90</v>
      </c>
    </row>
    <row r="9" spans="1:16">
      <c r="A9" t="s">
        <v>490</v>
      </c>
      <c r="C9">
        <f>SUM(C3:C8)</f>
        <v>3053</v>
      </c>
      <c r="D9">
        <f>SUM(D3:D8)</f>
        <v>2918</v>
      </c>
      <c r="E9">
        <f t="shared" ref="E9:P9" si="0">SUM(E3:E8)</f>
        <v>2910</v>
      </c>
      <c r="F9">
        <f t="shared" si="0"/>
        <v>2989</v>
      </c>
      <c r="G9">
        <f t="shared" si="0"/>
        <v>2991</v>
      </c>
      <c r="H9">
        <f t="shared" si="0"/>
        <v>2950</v>
      </c>
      <c r="I9">
        <f t="shared" si="0"/>
        <v>2900</v>
      </c>
      <c r="J9">
        <f t="shared" si="0"/>
        <v>2880</v>
      </c>
      <c r="K9">
        <f t="shared" si="0"/>
        <v>2860</v>
      </c>
      <c r="L9">
        <f t="shared" si="0"/>
        <v>2840</v>
      </c>
      <c r="M9">
        <f t="shared" si="0"/>
        <v>2820</v>
      </c>
      <c r="N9">
        <f t="shared" si="0"/>
        <v>2795</v>
      </c>
      <c r="O9">
        <f t="shared" si="0"/>
        <v>2775</v>
      </c>
      <c r="P9">
        <f t="shared" si="0"/>
        <v>2755</v>
      </c>
    </row>
    <row r="10" spans="1:16">
      <c r="F10">
        <f>F7/E7</f>
        <v>0.97978596908442328</v>
      </c>
      <c r="G10">
        <f t="shared" ref="G10:H10" si="1">G7/F7</f>
        <v>1.0056634304207119</v>
      </c>
      <c r="H10">
        <f t="shared" si="1"/>
        <v>0.97908286403861622</v>
      </c>
      <c r="N10" s="59"/>
    </row>
    <row r="11" spans="1:16">
      <c r="H11">
        <f>(F10+G10+H10)/3</f>
        <v>0.98817742118125051</v>
      </c>
      <c r="N11" s="60"/>
    </row>
    <row r="13" spans="1:16">
      <c r="B13" t="s">
        <v>110</v>
      </c>
      <c r="C13" t="s">
        <v>111</v>
      </c>
      <c r="D13" t="s">
        <v>112</v>
      </c>
      <c r="E13" t="s">
        <v>498</v>
      </c>
      <c r="F13" t="s">
        <v>499</v>
      </c>
      <c r="G13" t="s">
        <v>570</v>
      </c>
      <c r="H13" t="s">
        <v>571</v>
      </c>
      <c r="I13" t="s">
        <v>572</v>
      </c>
      <c r="J13" t="s">
        <v>573</v>
      </c>
    </row>
    <row r="14" spans="1:16">
      <c r="A14" t="s">
        <v>105</v>
      </c>
      <c r="B14">
        <v>20</v>
      </c>
      <c r="C14">
        <f>ROUND(B14/121*21,2)</f>
        <v>3.47</v>
      </c>
      <c r="D14">
        <f>B14-C14</f>
        <v>16.53</v>
      </c>
      <c r="E14" s="58">
        <f t="shared" ref="E14:E19" si="2">$E3*D14/2+$F3*D14/2</f>
        <v>1421.5800000000002</v>
      </c>
      <c r="F14" s="58">
        <f t="shared" ref="F14:F19" si="3">$G3*D14/2+$H3*D14/2</f>
        <v>1793.5050000000001</v>
      </c>
      <c r="G14" s="58">
        <f>$I3*$D14/2+$J3*$D14/2</f>
        <v>2066.25</v>
      </c>
      <c r="H14" s="58">
        <f>$K3*$D14/2+$L3*$D14/2</f>
        <v>2066.25</v>
      </c>
      <c r="I14" s="58">
        <f>$M3*$D14/2+$N3*$D14/2</f>
        <v>2066.25</v>
      </c>
      <c r="J14" s="58">
        <f>$O3*$D14/2+$P3*$D14/2</f>
        <v>2066.25</v>
      </c>
    </row>
    <row r="15" spans="1:16">
      <c r="A15" t="s">
        <v>108</v>
      </c>
      <c r="B15">
        <v>20</v>
      </c>
      <c r="C15">
        <f t="shared" ref="C15:C19" si="4">ROUND(B15/121*21,2)</f>
        <v>3.47</v>
      </c>
      <c r="D15">
        <f t="shared" ref="D15:D19" si="5">B15-C15</f>
        <v>16.53</v>
      </c>
      <c r="E15" s="58">
        <f t="shared" si="2"/>
        <v>2082.7800000000002</v>
      </c>
      <c r="F15" s="58">
        <f t="shared" si="3"/>
        <v>2611.7400000000002</v>
      </c>
      <c r="G15" s="58">
        <f t="shared" ref="G15:G19" si="6">$I4*$D15/2+$J4*$D15/2</f>
        <v>2479.5</v>
      </c>
      <c r="H15" s="58">
        <f t="shared" ref="H15:H19" si="7">$K4*$D15/2+$L4*$D15/2</f>
        <v>2479.5</v>
      </c>
      <c r="I15" s="58">
        <f t="shared" ref="I15:I19" si="8">$M4*$D15/2+$N4*$D15/2</f>
        <v>2479.5</v>
      </c>
      <c r="J15" s="58">
        <f t="shared" ref="J15:J19" si="9">$O4*$D15/2+$P4*$D15/2</f>
        <v>2479.5</v>
      </c>
    </row>
    <row r="16" spans="1:16">
      <c r="A16" t="s">
        <v>107</v>
      </c>
      <c r="B16">
        <v>20</v>
      </c>
      <c r="C16">
        <f t="shared" si="4"/>
        <v>3.47</v>
      </c>
      <c r="D16">
        <f t="shared" si="5"/>
        <v>16.53</v>
      </c>
      <c r="E16" s="58">
        <f t="shared" si="2"/>
        <v>1595.145</v>
      </c>
      <c r="F16" s="58">
        <f t="shared" si="3"/>
        <v>1537.29</v>
      </c>
      <c r="G16" s="58">
        <f t="shared" si="6"/>
        <v>1322.4</v>
      </c>
      <c r="H16" s="58">
        <f t="shared" si="7"/>
        <v>1322.4</v>
      </c>
      <c r="I16" s="58">
        <f t="shared" si="8"/>
        <v>1322.4</v>
      </c>
      <c r="J16" s="58">
        <f t="shared" si="9"/>
        <v>1322.4</v>
      </c>
    </row>
    <row r="17" spans="1:10">
      <c r="A17" t="s">
        <v>106</v>
      </c>
      <c r="B17">
        <v>30</v>
      </c>
      <c r="C17">
        <f t="shared" si="4"/>
        <v>5.21</v>
      </c>
      <c r="D17">
        <f t="shared" si="5"/>
        <v>24.79</v>
      </c>
      <c r="E17" s="58">
        <f t="shared" si="2"/>
        <v>1127.9449999999999</v>
      </c>
      <c r="F17" s="58">
        <f t="shared" si="3"/>
        <v>1289.08</v>
      </c>
      <c r="G17" s="58">
        <f t="shared" si="6"/>
        <v>1115.55</v>
      </c>
      <c r="H17" s="58">
        <f t="shared" si="7"/>
        <v>1115.55</v>
      </c>
      <c r="I17" s="58">
        <f t="shared" si="8"/>
        <v>1115.55</v>
      </c>
      <c r="J17" s="58">
        <f t="shared" si="9"/>
        <v>1115.55</v>
      </c>
    </row>
    <row r="18" spans="1:10">
      <c r="A18" t="s">
        <v>109</v>
      </c>
      <c r="B18">
        <v>45</v>
      </c>
      <c r="C18">
        <f t="shared" ref="C18" si="10">ROUND(B18/121*21,2)</f>
        <v>7.81</v>
      </c>
      <c r="D18">
        <f t="shared" ref="D18" si="11">B18-C18</f>
        <v>37.19</v>
      </c>
      <c r="E18" s="58">
        <f t="shared" si="2"/>
        <v>92882.024999999994</v>
      </c>
      <c r="F18" s="58">
        <f t="shared" si="3"/>
        <v>91487.4</v>
      </c>
      <c r="G18" s="58">
        <f t="shared" si="6"/>
        <v>89256</v>
      </c>
      <c r="H18" s="58">
        <f t="shared" si="7"/>
        <v>87768.4</v>
      </c>
      <c r="I18" s="58">
        <f t="shared" si="8"/>
        <v>86187.824999999997</v>
      </c>
      <c r="J18" s="58">
        <f t="shared" si="9"/>
        <v>84607.25</v>
      </c>
    </row>
    <row r="19" spans="1:10">
      <c r="A19" t="s">
        <v>497</v>
      </c>
      <c r="B19">
        <v>22.5</v>
      </c>
      <c r="C19">
        <f t="shared" si="4"/>
        <v>3.9</v>
      </c>
      <c r="D19">
        <f t="shared" si="5"/>
        <v>18.600000000000001</v>
      </c>
      <c r="E19" s="58">
        <f t="shared" si="2"/>
        <v>1822.8000000000002</v>
      </c>
      <c r="F19" s="58">
        <f t="shared" si="3"/>
        <v>1841.4</v>
      </c>
      <c r="G19" s="58">
        <f t="shared" si="6"/>
        <v>1674.0000000000002</v>
      </c>
      <c r="H19" s="58">
        <f t="shared" si="7"/>
        <v>1674.0000000000002</v>
      </c>
      <c r="I19" s="58">
        <f t="shared" si="8"/>
        <v>1674.0000000000002</v>
      </c>
      <c r="J19" s="58">
        <f t="shared" si="9"/>
        <v>1674.0000000000002</v>
      </c>
    </row>
    <row r="20" spans="1:10">
      <c r="E20" s="59">
        <f>SUM(E14:E19)</f>
        <v>100932.27499999999</v>
      </c>
      <c r="F20" s="59">
        <f>SUM(F14:F19)</f>
        <v>100560.41499999999</v>
      </c>
      <c r="G20" s="59">
        <f t="shared" ref="G20:J20" si="12">SUM(G14:G19)</f>
        <v>97913.7</v>
      </c>
      <c r="H20" s="59">
        <f t="shared" si="12"/>
        <v>96426.099999999991</v>
      </c>
      <c r="I20" s="59">
        <f t="shared" si="12"/>
        <v>94845.524999999994</v>
      </c>
      <c r="J20" s="59">
        <f t="shared" si="12"/>
        <v>93264.95</v>
      </c>
    </row>
    <row r="22" spans="1:10">
      <c r="A22" t="s">
        <v>574</v>
      </c>
      <c r="G22" s="60">
        <f>G20-G14</f>
        <v>95847.45</v>
      </c>
      <c r="H22" s="60">
        <f t="shared" ref="H22:J22" si="13">H20-H14</f>
        <v>94359.849999999991</v>
      </c>
      <c r="I22" s="60">
        <f t="shared" si="13"/>
        <v>92779.274999999994</v>
      </c>
      <c r="J22" s="60">
        <f t="shared" si="13"/>
        <v>91198.7</v>
      </c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L27" sqref="L27"/>
    </sheetView>
  </sheetViews>
  <sheetFormatPr defaultRowHeight="15"/>
  <cols>
    <col min="1" max="1" width="14.140625" bestFit="1" customWidth="1"/>
    <col min="4" max="4" width="10.5703125" bestFit="1" customWidth="1"/>
  </cols>
  <sheetData>
    <row r="1" spans="1:4">
      <c r="A1" t="s">
        <v>113</v>
      </c>
    </row>
    <row r="2" spans="1:4">
      <c r="A2" t="s">
        <v>116</v>
      </c>
      <c r="B2" t="s">
        <v>114</v>
      </c>
      <c r="C2" t="s">
        <v>115</v>
      </c>
    </row>
    <row r="3" spans="1:4">
      <c r="A3" t="s">
        <v>117</v>
      </c>
      <c r="B3">
        <v>12</v>
      </c>
      <c r="C3">
        <v>100</v>
      </c>
      <c r="D3" s="58">
        <f>B3*C3</f>
        <v>1200</v>
      </c>
    </row>
    <row r="4" spans="1:4">
      <c r="A4" t="s">
        <v>118</v>
      </c>
      <c r="B4">
        <v>24</v>
      </c>
      <c r="C4">
        <v>100</v>
      </c>
      <c r="D4" s="58">
        <f t="shared" ref="D4:D6" si="0">B4*C4</f>
        <v>2400</v>
      </c>
    </row>
    <row r="5" spans="1:4">
      <c r="A5" t="s">
        <v>119</v>
      </c>
      <c r="B5">
        <v>36</v>
      </c>
      <c r="C5">
        <v>100</v>
      </c>
      <c r="D5" s="58">
        <f t="shared" si="0"/>
        <v>3600</v>
      </c>
    </row>
    <row r="6" spans="1:4">
      <c r="A6" t="s">
        <v>120</v>
      </c>
      <c r="B6">
        <v>44</v>
      </c>
      <c r="C6">
        <v>100</v>
      </c>
      <c r="D6" s="58">
        <f t="shared" si="0"/>
        <v>4400</v>
      </c>
    </row>
    <row r="7" spans="1:4">
      <c r="D7" s="58">
        <f>SUM(D3:D6)</f>
        <v>11600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49"/>
  <sheetViews>
    <sheetView workbookViewId="0">
      <selection activeCell="A143" sqref="A143"/>
    </sheetView>
  </sheetViews>
  <sheetFormatPr defaultRowHeight="15"/>
  <cols>
    <col min="1" max="1" width="31.28515625" bestFit="1" customWidth="1"/>
    <col min="2" max="2" width="46" bestFit="1" customWidth="1"/>
    <col min="3" max="3" width="11.5703125" bestFit="1" customWidth="1"/>
    <col min="4" max="4" width="12.5703125" bestFit="1" customWidth="1"/>
    <col min="6" max="7" width="11.5703125" bestFit="1" customWidth="1"/>
    <col min="12" max="12" width="9.5703125" bestFit="1" customWidth="1"/>
    <col min="14" max="14" width="10" bestFit="1" customWidth="1"/>
  </cols>
  <sheetData>
    <row r="1" spans="1:7">
      <c r="C1">
        <v>2021</v>
      </c>
      <c r="D1">
        <v>2021</v>
      </c>
      <c r="F1">
        <v>2022</v>
      </c>
      <c r="G1">
        <v>2022</v>
      </c>
    </row>
    <row r="2" spans="1:7">
      <c r="A2" t="s">
        <v>121</v>
      </c>
      <c r="C2" t="s">
        <v>146</v>
      </c>
      <c r="D2" t="s">
        <v>147</v>
      </c>
    </row>
    <row r="3" spans="1:7">
      <c r="A3" t="s">
        <v>266</v>
      </c>
      <c r="B3" t="s">
        <v>122</v>
      </c>
      <c r="C3" s="61">
        <v>1269</v>
      </c>
      <c r="D3" s="58"/>
      <c r="F3">
        <v>1269</v>
      </c>
    </row>
    <row r="4" spans="1:7">
      <c r="A4" t="s">
        <v>272</v>
      </c>
      <c r="B4" t="s">
        <v>123</v>
      </c>
      <c r="C4" s="58">
        <v>10000</v>
      </c>
      <c r="D4" s="58"/>
      <c r="F4">
        <v>5970</v>
      </c>
    </row>
    <row r="5" spans="1:7">
      <c r="A5" t="s">
        <v>268</v>
      </c>
      <c r="B5" t="s">
        <v>124</v>
      </c>
      <c r="C5" s="58"/>
      <c r="D5" s="58">
        <v>258073</v>
      </c>
      <c r="G5">
        <v>258073</v>
      </c>
    </row>
    <row r="6" spans="1:7">
      <c r="A6" t="s">
        <v>268</v>
      </c>
      <c r="B6" t="s">
        <v>125</v>
      </c>
      <c r="C6" s="58"/>
      <c r="D6" s="58">
        <v>11231</v>
      </c>
      <c r="G6">
        <v>11231</v>
      </c>
    </row>
    <row r="7" spans="1:7">
      <c r="A7" t="s">
        <v>269</v>
      </c>
      <c r="B7" t="s">
        <v>126</v>
      </c>
      <c r="C7" s="58"/>
      <c r="D7" s="61">
        <v>12000</v>
      </c>
      <c r="G7">
        <v>12000</v>
      </c>
    </row>
    <row r="8" spans="1:7">
      <c r="A8" t="s">
        <v>270</v>
      </c>
      <c r="B8" t="s">
        <v>127</v>
      </c>
      <c r="C8" s="58"/>
      <c r="D8" s="61">
        <v>4197</v>
      </c>
      <c r="G8">
        <v>4197</v>
      </c>
    </row>
    <row r="9" spans="1:7">
      <c r="A9" t="s">
        <v>271</v>
      </c>
      <c r="B9" t="s">
        <v>128</v>
      </c>
      <c r="C9" s="58"/>
      <c r="D9" s="61">
        <v>2918</v>
      </c>
      <c r="G9">
        <v>2918</v>
      </c>
    </row>
    <row r="10" spans="1:7">
      <c r="A10" t="s">
        <v>272</v>
      </c>
      <c r="B10" t="s">
        <v>148</v>
      </c>
      <c r="C10" s="58"/>
      <c r="D10" s="61">
        <v>10662</v>
      </c>
      <c r="G10">
        <v>10662</v>
      </c>
    </row>
    <row r="11" spans="1:7">
      <c r="A11" t="s">
        <v>272</v>
      </c>
      <c r="B11" t="s">
        <v>241</v>
      </c>
      <c r="C11" s="58"/>
      <c r="D11" s="61"/>
      <c r="G11">
        <v>-150</v>
      </c>
    </row>
    <row r="12" spans="1:7">
      <c r="A12" t="s">
        <v>272</v>
      </c>
      <c r="B12" t="s">
        <v>129</v>
      </c>
      <c r="C12" s="58"/>
      <c r="D12" s="61">
        <v>250</v>
      </c>
      <c r="G12">
        <v>375</v>
      </c>
    </row>
    <row r="13" spans="1:7">
      <c r="A13" t="s">
        <v>272</v>
      </c>
      <c r="B13" t="s">
        <v>130</v>
      </c>
      <c r="C13" s="58"/>
      <c r="D13" s="61">
        <v>151606</v>
      </c>
      <c r="G13">
        <v>50538</v>
      </c>
    </row>
    <row r="14" spans="1:7">
      <c r="A14" t="s">
        <v>272</v>
      </c>
      <c r="B14" t="s">
        <v>131</v>
      </c>
      <c r="C14" s="58"/>
      <c r="D14" s="61">
        <v>26144</v>
      </c>
      <c r="G14">
        <v>19904</v>
      </c>
    </row>
    <row r="15" spans="1:7">
      <c r="A15" t="s">
        <v>267</v>
      </c>
      <c r="B15" t="s">
        <v>132</v>
      </c>
      <c r="C15" s="61">
        <v>92000</v>
      </c>
      <c r="D15" s="58"/>
      <c r="F15">
        <v>11945</v>
      </c>
    </row>
    <row r="16" spans="1:7">
      <c r="A16" t="s">
        <v>267</v>
      </c>
      <c r="B16" t="s">
        <v>133</v>
      </c>
      <c r="C16" s="61">
        <v>225058</v>
      </c>
      <c r="D16" s="58"/>
      <c r="F16">
        <v>225058</v>
      </c>
    </row>
    <row r="17" spans="1:14">
      <c r="A17" t="s">
        <v>267</v>
      </c>
      <c r="B17" t="s">
        <v>134</v>
      </c>
      <c r="C17" s="61">
        <v>131720</v>
      </c>
      <c r="D17" s="58"/>
      <c r="F17">
        <v>107349</v>
      </c>
    </row>
    <row r="18" spans="1:14">
      <c r="A18" t="s">
        <v>267</v>
      </c>
      <c r="B18" t="s">
        <v>135</v>
      </c>
      <c r="C18" s="61">
        <v>116093</v>
      </c>
      <c r="D18" s="58"/>
      <c r="F18">
        <v>116093</v>
      </c>
    </row>
    <row r="19" spans="1:14">
      <c r="A19" t="s">
        <v>273</v>
      </c>
      <c r="B19" t="s">
        <v>136</v>
      </c>
      <c r="C19" s="61">
        <v>9320</v>
      </c>
      <c r="D19" s="58"/>
      <c r="F19">
        <v>32547</v>
      </c>
      <c r="L19" s="60"/>
      <c r="N19" s="60"/>
    </row>
    <row r="20" spans="1:14">
      <c r="A20" t="s">
        <v>273</v>
      </c>
      <c r="B20" t="s">
        <v>137</v>
      </c>
      <c r="C20" s="58"/>
      <c r="D20" s="61">
        <v>2005</v>
      </c>
      <c r="G20">
        <v>2005</v>
      </c>
    </row>
    <row r="21" spans="1:14">
      <c r="A21" t="s">
        <v>272</v>
      </c>
      <c r="B21" t="s">
        <v>138</v>
      </c>
      <c r="C21" s="58"/>
      <c r="D21" s="58">
        <v>10706</v>
      </c>
      <c r="G21">
        <v>3759</v>
      </c>
      <c r="L21" s="60"/>
    </row>
    <row r="22" spans="1:14">
      <c r="A22" t="s">
        <v>272</v>
      </c>
      <c r="B22" t="s">
        <v>139</v>
      </c>
      <c r="C22" s="58"/>
      <c r="D22" s="61">
        <v>1048</v>
      </c>
      <c r="G22">
        <v>-9186</v>
      </c>
    </row>
    <row r="23" spans="1:14">
      <c r="A23" t="s">
        <v>272</v>
      </c>
      <c r="B23" t="s">
        <v>140</v>
      </c>
      <c r="C23" s="58"/>
      <c r="D23" s="58">
        <v>31</v>
      </c>
      <c r="G23">
        <v>-3906</v>
      </c>
    </row>
    <row r="24" spans="1:14">
      <c r="B24" t="s">
        <v>242</v>
      </c>
      <c r="C24" s="58"/>
      <c r="D24" s="58"/>
      <c r="G24">
        <v>1064</v>
      </c>
    </row>
    <row r="25" spans="1:14">
      <c r="B25" t="s">
        <v>243</v>
      </c>
      <c r="C25" s="58"/>
      <c r="D25" s="58"/>
      <c r="F25">
        <v>2694</v>
      </c>
    </row>
    <row r="26" spans="1:14">
      <c r="B26" t="s">
        <v>244</v>
      </c>
      <c r="C26" s="58"/>
      <c r="D26" s="58"/>
      <c r="G26">
        <v>357</v>
      </c>
    </row>
    <row r="27" spans="1:14">
      <c r="A27" t="s">
        <v>272</v>
      </c>
      <c r="B27" t="s">
        <v>141</v>
      </c>
      <c r="C27" s="58"/>
      <c r="D27" s="61">
        <v>5950</v>
      </c>
      <c r="G27">
        <v>5950</v>
      </c>
    </row>
    <row r="28" spans="1:14">
      <c r="A28" t="s">
        <v>272</v>
      </c>
      <c r="B28" t="s">
        <v>142</v>
      </c>
      <c r="C28" s="58"/>
      <c r="D28" s="58">
        <v>55000</v>
      </c>
      <c r="G28">
        <v>55000</v>
      </c>
      <c r="K28" s="62">
        <v>58478</v>
      </c>
      <c r="L28" s="60">
        <f>K28-D28</f>
        <v>3478</v>
      </c>
    </row>
    <row r="29" spans="1:14">
      <c r="A29" t="s">
        <v>272</v>
      </c>
      <c r="B29" t="s">
        <v>143</v>
      </c>
      <c r="C29" s="58"/>
      <c r="D29" s="61">
        <v>12580</v>
      </c>
      <c r="G29">
        <v>9951</v>
      </c>
    </row>
    <row r="30" spans="1:14">
      <c r="B30" t="s">
        <v>245</v>
      </c>
      <c r="C30" s="58"/>
      <c r="D30" s="58"/>
      <c r="G30">
        <v>84000</v>
      </c>
    </row>
    <row r="31" spans="1:14">
      <c r="B31" t="s">
        <v>246</v>
      </c>
      <c r="C31" s="58"/>
      <c r="D31" s="58"/>
      <c r="G31">
        <v>991</v>
      </c>
    </row>
    <row r="32" spans="1:14">
      <c r="B32" t="s">
        <v>247</v>
      </c>
      <c r="C32" s="58"/>
      <c r="D32" s="58"/>
      <c r="G32">
        <v>21059</v>
      </c>
    </row>
    <row r="33" spans="1:12">
      <c r="C33" s="58">
        <f>SUM(C3:C32)</f>
        <v>585460</v>
      </c>
      <c r="D33" s="58">
        <f>SUM(D3:D32)</f>
        <v>564401</v>
      </c>
      <c r="F33" s="58">
        <f>SUM(F3:F32)</f>
        <v>502925</v>
      </c>
      <c r="G33" s="58">
        <f>SUM(G3:G32)</f>
        <v>540792</v>
      </c>
      <c r="L33" s="58">
        <f>SUM(L3:L32)</f>
        <v>3478</v>
      </c>
    </row>
    <row r="34" spans="1:12">
      <c r="A34" t="s">
        <v>144</v>
      </c>
      <c r="C34" s="58"/>
      <c r="D34" s="58">
        <f>C33-D33</f>
        <v>21059</v>
      </c>
    </row>
    <row r="35" spans="1:12">
      <c r="A35" t="s">
        <v>248</v>
      </c>
      <c r="C35" s="58"/>
      <c r="D35" s="58"/>
      <c r="F35" s="60">
        <f>G33-F33</f>
        <v>37867</v>
      </c>
    </row>
    <row r="36" spans="1:12">
      <c r="A36" t="s">
        <v>145</v>
      </c>
      <c r="C36" s="58"/>
      <c r="D36" s="58">
        <f>D34</f>
        <v>21059</v>
      </c>
      <c r="F36" s="60">
        <f>F35</f>
        <v>37867</v>
      </c>
      <c r="K36">
        <v>17581</v>
      </c>
      <c r="L36" s="60">
        <f>K36-D36</f>
        <v>-3478</v>
      </c>
    </row>
    <row r="38" spans="1:12">
      <c r="A38" t="s">
        <v>149</v>
      </c>
      <c r="B38" t="s">
        <v>276</v>
      </c>
      <c r="C38" t="s">
        <v>277</v>
      </c>
      <c r="D38" t="s">
        <v>278</v>
      </c>
    </row>
    <row r="39" spans="1:12">
      <c r="A39" t="s">
        <v>274</v>
      </c>
      <c r="B39" t="s">
        <v>150</v>
      </c>
      <c r="C39" s="58">
        <v>135917</v>
      </c>
      <c r="D39" s="58"/>
      <c r="F39">
        <v>78054</v>
      </c>
    </row>
    <row r="40" spans="1:12">
      <c r="A40" t="s">
        <v>274</v>
      </c>
      <c r="B40" t="s">
        <v>151</v>
      </c>
      <c r="C40" s="58">
        <v>10899</v>
      </c>
      <c r="D40" s="58"/>
      <c r="F40">
        <v>4684</v>
      </c>
    </row>
    <row r="41" spans="1:12">
      <c r="A41" t="s">
        <v>274</v>
      </c>
      <c r="B41" t="s">
        <v>152</v>
      </c>
      <c r="C41" s="58">
        <v>26687</v>
      </c>
      <c r="D41" s="58"/>
      <c r="F41">
        <v>11538</v>
      </c>
    </row>
    <row r="42" spans="1:12">
      <c r="A42" t="s">
        <v>274</v>
      </c>
      <c r="B42" t="s">
        <v>153</v>
      </c>
      <c r="C42" s="58">
        <v>1500</v>
      </c>
      <c r="D42" s="58"/>
    </row>
    <row r="43" spans="1:12">
      <c r="A43" t="s">
        <v>274</v>
      </c>
      <c r="B43" t="s">
        <v>154</v>
      </c>
      <c r="C43" s="58">
        <v>16784</v>
      </c>
      <c r="D43" s="58"/>
      <c r="F43">
        <v>6520</v>
      </c>
    </row>
    <row r="44" spans="1:12">
      <c r="A44" t="s">
        <v>274</v>
      </c>
      <c r="B44" t="s">
        <v>155</v>
      </c>
      <c r="C44" s="58">
        <v>3485</v>
      </c>
      <c r="D44" s="58"/>
      <c r="F44">
        <v>3603</v>
      </c>
    </row>
    <row r="45" spans="1:12">
      <c r="A45" t="s">
        <v>274</v>
      </c>
      <c r="B45" t="s">
        <v>156</v>
      </c>
      <c r="C45" s="58">
        <v>9659</v>
      </c>
      <c r="D45" s="58"/>
      <c r="F45">
        <v>4053</v>
      </c>
    </row>
    <row r="46" spans="1:12">
      <c r="A46" t="s">
        <v>274</v>
      </c>
      <c r="B46" t="s">
        <v>157</v>
      </c>
      <c r="C46" s="58">
        <v>4773</v>
      </c>
      <c r="D46" s="58"/>
      <c r="F46">
        <v>4091</v>
      </c>
    </row>
    <row r="47" spans="1:12">
      <c r="A47" t="s">
        <v>274</v>
      </c>
      <c r="B47" t="s">
        <v>158</v>
      </c>
      <c r="C47" s="58"/>
      <c r="D47" s="58">
        <v>787</v>
      </c>
    </row>
    <row r="48" spans="1:12">
      <c r="A48" t="s">
        <v>274</v>
      </c>
      <c r="B48" t="s">
        <v>249</v>
      </c>
      <c r="C48" s="58"/>
      <c r="D48" s="58"/>
      <c r="F48">
        <v>213</v>
      </c>
    </row>
    <row r="49" spans="1:6">
      <c r="A49" t="s">
        <v>274</v>
      </c>
      <c r="B49" t="s">
        <v>159</v>
      </c>
      <c r="C49" s="58">
        <v>1839</v>
      </c>
      <c r="D49" s="58"/>
    </row>
    <row r="50" spans="1:6">
      <c r="A50" t="s">
        <v>274</v>
      </c>
      <c r="B50" t="s">
        <v>160</v>
      </c>
      <c r="C50" s="58">
        <v>1450</v>
      </c>
      <c r="D50" s="58"/>
      <c r="F50">
        <v>1156</v>
      </c>
    </row>
    <row r="51" spans="1:6">
      <c r="A51" t="s">
        <v>274</v>
      </c>
      <c r="B51" t="s">
        <v>161</v>
      </c>
      <c r="C51" s="58">
        <v>346</v>
      </c>
      <c r="D51" s="58"/>
      <c r="F51">
        <v>292</v>
      </c>
    </row>
    <row r="52" spans="1:6">
      <c r="A52" t="s">
        <v>274</v>
      </c>
      <c r="B52" t="s">
        <v>162</v>
      </c>
      <c r="C52" s="58"/>
      <c r="D52" s="58">
        <v>-6000</v>
      </c>
    </row>
    <row r="53" spans="1:6">
      <c r="A53" t="s">
        <v>63</v>
      </c>
      <c r="B53" t="s">
        <v>163</v>
      </c>
      <c r="C53" s="58">
        <v>7309</v>
      </c>
      <c r="D53" s="58"/>
    </row>
    <row r="54" spans="1:6">
      <c r="A54" t="s">
        <v>56</v>
      </c>
      <c r="B54" t="s">
        <v>164</v>
      </c>
      <c r="C54" s="58">
        <v>651</v>
      </c>
      <c r="D54" s="58"/>
    </row>
    <row r="55" spans="1:6">
      <c r="A55" t="s">
        <v>72</v>
      </c>
      <c r="B55" t="s">
        <v>165</v>
      </c>
      <c r="C55" s="58">
        <v>228</v>
      </c>
      <c r="D55" s="58"/>
      <c r="F55">
        <v>1347</v>
      </c>
    </row>
    <row r="56" spans="1:6">
      <c r="A56" t="s">
        <v>72</v>
      </c>
      <c r="B56" t="s">
        <v>175</v>
      </c>
      <c r="C56" s="58">
        <v>29</v>
      </c>
      <c r="D56" s="58"/>
    </row>
    <row r="57" spans="1:6">
      <c r="A57" t="s">
        <v>72</v>
      </c>
      <c r="B57" t="s">
        <v>176</v>
      </c>
      <c r="C57" s="58">
        <v>157</v>
      </c>
      <c r="D57" s="58"/>
    </row>
    <row r="58" spans="1:6">
      <c r="A58" t="s">
        <v>72</v>
      </c>
      <c r="B58" t="s">
        <v>177</v>
      </c>
      <c r="C58" s="58">
        <v>10997</v>
      </c>
      <c r="D58" s="58"/>
    </row>
    <row r="59" spans="1:6">
      <c r="A59" t="s">
        <v>48</v>
      </c>
      <c r="B59" t="s">
        <v>178</v>
      </c>
      <c r="C59" s="58">
        <v>6050</v>
      </c>
      <c r="D59" s="58"/>
    </row>
    <row r="60" spans="1:6">
      <c r="A60" t="s">
        <v>72</v>
      </c>
      <c r="B60" t="s">
        <v>179</v>
      </c>
      <c r="C60" s="58">
        <v>885</v>
      </c>
      <c r="D60" s="58"/>
      <c r="F60">
        <v>385</v>
      </c>
    </row>
    <row r="61" spans="1:6">
      <c r="A61" t="s">
        <v>72</v>
      </c>
      <c r="B61" t="s">
        <v>180</v>
      </c>
      <c r="C61" s="58">
        <v>4056</v>
      </c>
      <c r="D61" s="58"/>
    </row>
    <row r="62" spans="1:6">
      <c r="A62" t="s">
        <v>72</v>
      </c>
      <c r="B62" t="s">
        <v>181</v>
      </c>
      <c r="C62" s="58">
        <v>2106</v>
      </c>
      <c r="D62" s="58"/>
      <c r="F62">
        <v>2838</v>
      </c>
    </row>
    <row r="63" spans="1:6">
      <c r="A63" t="s">
        <v>72</v>
      </c>
      <c r="B63" t="s">
        <v>182</v>
      </c>
      <c r="C63" s="58">
        <v>600</v>
      </c>
      <c r="D63" s="58"/>
      <c r="F63">
        <v>323</v>
      </c>
    </row>
    <row r="64" spans="1:6">
      <c r="A64" t="s">
        <v>72</v>
      </c>
      <c r="B64" t="s">
        <v>183</v>
      </c>
      <c r="C64" s="58">
        <v>1792</v>
      </c>
      <c r="D64" s="58"/>
      <c r="F64">
        <v>876</v>
      </c>
    </row>
    <row r="65" spans="1:7">
      <c r="A65" t="s">
        <v>72</v>
      </c>
      <c r="B65" t="s">
        <v>184</v>
      </c>
      <c r="C65" s="58">
        <v>40</v>
      </c>
      <c r="D65" s="58"/>
      <c r="F65">
        <v>40</v>
      </c>
    </row>
    <row r="66" spans="1:7">
      <c r="A66" t="s">
        <v>72</v>
      </c>
      <c r="B66" t="s">
        <v>185</v>
      </c>
      <c r="C66" s="58">
        <v>-2</v>
      </c>
      <c r="D66" s="58"/>
      <c r="F66">
        <v>38</v>
      </c>
    </row>
    <row r="67" spans="1:7">
      <c r="A67" t="s">
        <v>72</v>
      </c>
      <c r="B67" t="s">
        <v>186</v>
      </c>
      <c r="C67" s="58">
        <v>120</v>
      </c>
      <c r="D67" s="58"/>
      <c r="F67">
        <v>120</v>
      </c>
    </row>
    <row r="68" spans="1:7">
      <c r="A68" t="s">
        <v>72</v>
      </c>
      <c r="B68" t="s">
        <v>250</v>
      </c>
      <c r="C68" s="58"/>
      <c r="D68" s="58"/>
      <c r="F68">
        <v>90</v>
      </c>
    </row>
    <row r="69" spans="1:7">
      <c r="A69" t="s">
        <v>59</v>
      </c>
      <c r="B69" t="s">
        <v>187</v>
      </c>
      <c r="C69" s="58">
        <v>4004</v>
      </c>
      <c r="D69" s="58"/>
      <c r="F69">
        <v>119</v>
      </c>
    </row>
    <row r="70" spans="1:7">
      <c r="A70" t="s">
        <v>61</v>
      </c>
      <c r="B70" t="s">
        <v>188</v>
      </c>
      <c r="C70" s="58">
        <v>3341</v>
      </c>
      <c r="D70" s="58"/>
      <c r="F70">
        <v>1731</v>
      </c>
    </row>
    <row r="71" spans="1:7">
      <c r="A71" t="s">
        <v>58</v>
      </c>
      <c r="B71" t="s">
        <v>189</v>
      </c>
      <c r="C71" s="58">
        <v>265</v>
      </c>
      <c r="D71" s="58"/>
      <c r="F71">
        <v>771</v>
      </c>
    </row>
    <row r="72" spans="1:7">
      <c r="A72" t="s">
        <v>58</v>
      </c>
      <c r="B72" t="s">
        <v>190</v>
      </c>
      <c r="C72" s="58">
        <v>2601</v>
      </c>
      <c r="D72" s="58"/>
      <c r="F72">
        <v>2227</v>
      </c>
    </row>
    <row r="73" spans="1:7">
      <c r="A73" t="s">
        <v>58</v>
      </c>
      <c r="B73" t="s">
        <v>191</v>
      </c>
      <c r="C73" s="58">
        <v>417</v>
      </c>
      <c r="D73" s="58"/>
      <c r="F73">
        <v>152</v>
      </c>
    </row>
    <row r="74" spans="1:7">
      <c r="A74" t="s">
        <v>58</v>
      </c>
      <c r="B74" t="s">
        <v>192</v>
      </c>
      <c r="C74" s="58">
        <v>476</v>
      </c>
      <c r="D74" s="58"/>
      <c r="F74">
        <v>403</v>
      </c>
    </row>
    <row r="75" spans="1:7">
      <c r="A75" t="s">
        <v>80</v>
      </c>
      <c r="B75" t="s">
        <v>193</v>
      </c>
      <c r="C75" s="58"/>
      <c r="D75" s="58">
        <v>112646</v>
      </c>
      <c r="G75">
        <v>-206</v>
      </c>
    </row>
    <row r="76" spans="1:7">
      <c r="A76" t="s">
        <v>80</v>
      </c>
      <c r="B76" t="s">
        <v>194</v>
      </c>
      <c r="C76" s="58"/>
      <c r="D76" s="58">
        <v>1923</v>
      </c>
    </row>
    <row r="77" spans="1:7">
      <c r="A77" t="s">
        <v>80</v>
      </c>
      <c r="B77" t="s">
        <v>195</v>
      </c>
      <c r="C77" s="58"/>
      <c r="D77" s="58">
        <v>2386</v>
      </c>
      <c r="G77">
        <v>1821</v>
      </c>
    </row>
    <row r="78" spans="1:7">
      <c r="A78" t="s">
        <v>79</v>
      </c>
      <c r="B78" t="s">
        <v>196</v>
      </c>
      <c r="C78" s="58"/>
      <c r="D78" s="58">
        <v>39627</v>
      </c>
      <c r="G78">
        <v>13805</v>
      </c>
    </row>
    <row r="79" spans="1:7">
      <c r="A79" t="s">
        <v>72</v>
      </c>
      <c r="B79" t="s">
        <v>197</v>
      </c>
      <c r="C79" s="58"/>
      <c r="D79" s="58">
        <v>-24</v>
      </c>
      <c r="G79">
        <v>-2</v>
      </c>
    </row>
    <row r="80" spans="1:7">
      <c r="A80" t="s">
        <v>72</v>
      </c>
      <c r="B80" t="s">
        <v>198</v>
      </c>
      <c r="C80" s="58"/>
      <c r="D80" s="58">
        <v>146</v>
      </c>
      <c r="G80">
        <v>153</v>
      </c>
    </row>
    <row r="81" spans="1:6">
      <c r="A81" t="s">
        <v>58</v>
      </c>
      <c r="B81" t="s">
        <v>199</v>
      </c>
      <c r="C81" s="58"/>
      <c r="D81" s="58">
        <v>125</v>
      </c>
    </row>
    <row r="82" spans="1:6">
      <c r="A82" t="s">
        <v>68</v>
      </c>
      <c r="B82" t="s">
        <v>200</v>
      </c>
      <c r="C82" s="58">
        <v>8007</v>
      </c>
      <c r="D82" s="58"/>
    </row>
    <row r="83" spans="1:6">
      <c r="A83" t="s">
        <v>68</v>
      </c>
      <c r="B83" t="s">
        <v>201</v>
      </c>
      <c r="C83" s="58">
        <v>4497</v>
      </c>
      <c r="D83" s="58"/>
      <c r="F83">
        <v>4132</v>
      </c>
    </row>
    <row r="84" spans="1:6">
      <c r="A84" t="s">
        <v>53</v>
      </c>
      <c r="B84" t="s">
        <v>202</v>
      </c>
      <c r="C84" s="58">
        <v>1027</v>
      </c>
      <c r="D84" s="58"/>
      <c r="F84">
        <v>1274</v>
      </c>
    </row>
    <row r="85" spans="1:6">
      <c r="A85" t="s">
        <v>53</v>
      </c>
      <c r="B85" t="s">
        <v>203</v>
      </c>
      <c r="C85" s="58">
        <v>1054</v>
      </c>
      <c r="D85" s="58"/>
      <c r="F85">
        <v>862</v>
      </c>
    </row>
    <row r="86" spans="1:6">
      <c r="A86" t="s">
        <v>53</v>
      </c>
      <c r="B86" t="s">
        <v>204</v>
      </c>
      <c r="C86" s="58">
        <v>1004</v>
      </c>
      <c r="D86" s="58"/>
      <c r="F86">
        <v>1324</v>
      </c>
    </row>
    <row r="87" spans="1:6">
      <c r="A87" t="s">
        <v>53</v>
      </c>
      <c r="B87" t="s">
        <v>205</v>
      </c>
      <c r="C87" s="58">
        <v>109</v>
      </c>
      <c r="D87" s="58"/>
      <c r="F87">
        <v>262</v>
      </c>
    </row>
    <row r="88" spans="1:6">
      <c r="A88" t="s">
        <v>68</v>
      </c>
      <c r="B88" t="s">
        <v>251</v>
      </c>
      <c r="C88" s="58"/>
      <c r="D88" s="58"/>
      <c r="F88">
        <v>431</v>
      </c>
    </row>
    <row r="89" spans="1:6">
      <c r="A89" t="s">
        <v>68</v>
      </c>
      <c r="B89" t="s">
        <v>206</v>
      </c>
      <c r="C89" s="58">
        <v>152</v>
      </c>
      <c r="D89" s="58"/>
    </row>
    <row r="90" spans="1:6">
      <c r="A90" t="s">
        <v>77</v>
      </c>
      <c r="B90" t="s">
        <v>207</v>
      </c>
      <c r="C90" s="58">
        <v>-107</v>
      </c>
      <c r="D90" s="58"/>
      <c r="F90">
        <v>3080</v>
      </c>
    </row>
    <row r="91" spans="1:6">
      <c r="A91" t="s">
        <v>68</v>
      </c>
      <c r="B91" t="s">
        <v>252</v>
      </c>
      <c r="C91" s="58"/>
      <c r="D91" s="58"/>
      <c r="F91">
        <v>36</v>
      </c>
    </row>
    <row r="92" spans="1:6">
      <c r="A92" t="s">
        <v>53</v>
      </c>
      <c r="B92" t="s">
        <v>208</v>
      </c>
      <c r="C92" s="58">
        <v>65</v>
      </c>
      <c r="D92" s="58"/>
      <c r="F92">
        <v>941</v>
      </c>
    </row>
    <row r="93" spans="1:6">
      <c r="A93" t="s">
        <v>53</v>
      </c>
      <c r="B93" t="s">
        <v>209</v>
      </c>
      <c r="C93" s="58">
        <v>850</v>
      </c>
      <c r="D93" s="58"/>
      <c r="F93">
        <v>539</v>
      </c>
    </row>
    <row r="94" spans="1:6">
      <c r="A94" t="s">
        <v>53</v>
      </c>
      <c r="B94" t="s">
        <v>210</v>
      </c>
      <c r="C94" s="58">
        <v>455</v>
      </c>
      <c r="D94" s="58"/>
      <c r="F94">
        <v>245</v>
      </c>
    </row>
    <row r="95" spans="1:6">
      <c r="A95" t="s">
        <v>53</v>
      </c>
      <c r="B95" t="s">
        <v>211</v>
      </c>
      <c r="C95" s="58">
        <v>18</v>
      </c>
      <c r="D95" s="58"/>
      <c r="F95">
        <v>23</v>
      </c>
    </row>
    <row r="96" spans="1:6">
      <c r="A96" t="s">
        <v>68</v>
      </c>
      <c r="B96" t="s">
        <v>253</v>
      </c>
      <c r="C96" s="58"/>
      <c r="D96" s="58"/>
      <c r="F96">
        <v>1798</v>
      </c>
    </row>
    <row r="97" spans="1:6">
      <c r="A97" t="s">
        <v>53</v>
      </c>
      <c r="B97" t="s">
        <v>254</v>
      </c>
      <c r="C97" s="58"/>
      <c r="D97" s="58"/>
      <c r="F97">
        <v>64</v>
      </c>
    </row>
    <row r="98" spans="1:6">
      <c r="A98" t="s">
        <v>53</v>
      </c>
      <c r="B98" t="s">
        <v>212</v>
      </c>
      <c r="C98" s="58">
        <v>37</v>
      </c>
      <c r="D98" s="58"/>
      <c r="F98">
        <v>46</v>
      </c>
    </row>
    <row r="99" spans="1:6">
      <c r="A99" t="s">
        <v>53</v>
      </c>
      <c r="B99" t="s">
        <v>213</v>
      </c>
      <c r="C99" s="58">
        <v>37</v>
      </c>
      <c r="D99" s="58"/>
    </row>
    <row r="100" spans="1:6">
      <c r="A100" t="s">
        <v>54</v>
      </c>
      <c r="B100" t="s">
        <v>255</v>
      </c>
      <c r="C100" s="58"/>
      <c r="D100" s="58"/>
      <c r="F100">
        <v>1998</v>
      </c>
    </row>
    <row r="101" spans="1:6">
      <c r="A101" t="s">
        <v>68</v>
      </c>
      <c r="B101" t="s">
        <v>256</v>
      </c>
      <c r="C101" s="58"/>
      <c r="D101" s="58"/>
      <c r="F101">
        <v>992</v>
      </c>
    </row>
    <row r="102" spans="1:6">
      <c r="A102" t="s">
        <v>275</v>
      </c>
      <c r="B102" t="s">
        <v>214</v>
      </c>
      <c r="C102" s="58">
        <v>9219</v>
      </c>
      <c r="D102" s="58"/>
      <c r="F102">
        <v>5657</v>
      </c>
    </row>
    <row r="103" spans="1:6">
      <c r="A103" t="s">
        <v>275</v>
      </c>
      <c r="B103" t="s">
        <v>215</v>
      </c>
      <c r="C103" s="58">
        <v>4656</v>
      </c>
      <c r="D103" s="58"/>
      <c r="F103">
        <v>1080</v>
      </c>
    </row>
    <row r="104" spans="1:6">
      <c r="A104" t="s">
        <v>275</v>
      </c>
      <c r="B104" t="s">
        <v>216</v>
      </c>
      <c r="C104" s="58">
        <v>2925</v>
      </c>
      <c r="D104" s="58"/>
      <c r="F104">
        <v>1050</v>
      </c>
    </row>
    <row r="105" spans="1:6">
      <c r="A105" t="s">
        <v>44</v>
      </c>
      <c r="B105" t="s">
        <v>217</v>
      </c>
      <c r="C105" s="58">
        <v>8551</v>
      </c>
      <c r="D105" s="58"/>
      <c r="F105">
        <v>1016</v>
      </c>
    </row>
    <row r="106" spans="1:6">
      <c r="A106" t="s">
        <v>64</v>
      </c>
      <c r="B106" t="s">
        <v>218</v>
      </c>
      <c r="C106" s="58">
        <v>120</v>
      </c>
      <c r="D106" s="58"/>
      <c r="F106">
        <v>260</v>
      </c>
    </row>
    <row r="107" spans="1:6">
      <c r="A107" t="s">
        <v>64</v>
      </c>
      <c r="B107" t="s">
        <v>219</v>
      </c>
      <c r="C107" s="58">
        <v>4675</v>
      </c>
      <c r="D107" s="58"/>
      <c r="F107">
        <v>300</v>
      </c>
    </row>
    <row r="108" spans="1:6">
      <c r="A108" t="s">
        <v>64</v>
      </c>
      <c r="B108" t="s">
        <v>220</v>
      </c>
      <c r="C108" s="58">
        <v>4675</v>
      </c>
      <c r="D108" s="58"/>
      <c r="F108">
        <v>300</v>
      </c>
    </row>
    <row r="109" spans="1:6">
      <c r="A109" t="s">
        <v>64</v>
      </c>
      <c r="B109" t="s">
        <v>221</v>
      </c>
      <c r="C109" s="58">
        <v>1500</v>
      </c>
      <c r="D109" s="58"/>
    </row>
    <row r="110" spans="1:6">
      <c r="A110" t="s">
        <v>52</v>
      </c>
      <c r="B110" t="s">
        <v>222</v>
      </c>
      <c r="C110" s="58">
        <v>700</v>
      </c>
      <c r="D110" s="58"/>
    </row>
    <row r="111" spans="1:6">
      <c r="A111" t="s">
        <v>46</v>
      </c>
      <c r="B111" t="s">
        <v>223</v>
      </c>
      <c r="C111" s="58">
        <v>4506</v>
      </c>
      <c r="D111" s="58"/>
    </row>
    <row r="112" spans="1:6">
      <c r="A112" t="s">
        <v>46</v>
      </c>
      <c r="B112" t="s">
        <v>224</v>
      </c>
      <c r="C112" s="58">
        <v>1993</v>
      </c>
      <c r="D112" s="58"/>
    </row>
    <row r="113" spans="1:7">
      <c r="A113" t="s">
        <v>46</v>
      </c>
      <c r="B113" t="s">
        <v>225</v>
      </c>
      <c r="C113" s="58">
        <v>5725</v>
      </c>
      <c r="D113" s="58"/>
      <c r="F113">
        <v>3500</v>
      </c>
    </row>
    <row r="114" spans="1:7">
      <c r="A114" t="s">
        <v>46</v>
      </c>
      <c r="B114" t="s">
        <v>257</v>
      </c>
      <c r="C114" s="58"/>
      <c r="D114" s="58"/>
      <c r="F114">
        <v>8145</v>
      </c>
    </row>
    <row r="115" spans="1:7">
      <c r="A115" t="s">
        <v>46</v>
      </c>
      <c r="B115" t="s">
        <v>226</v>
      </c>
      <c r="C115" s="58">
        <v>5371</v>
      </c>
      <c r="D115" s="58"/>
    </row>
    <row r="116" spans="1:7">
      <c r="A116" t="s">
        <v>52</v>
      </c>
      <c r="B116" t="s">
        <v>258</v>
      </c>
      <c r="C116" s="58"/>
      <c r="D116" s="58"/>
      <c r="F116">
        <v>19655</v>
      </c>
    </row>
    <row r="117" spans="1:7">
      <c r="A117" t="s">
        <v>52</v>
      </c>
      <c r="B117" t="s">
        <v>227</v>
      </c>
      <c r="C117" s="58">
        <v>-320</v>
      </c>
      <c r="D117" s="58"/>
    </row>
    <row r="118" spans="1:7">
      <c r="A118" t="s">
        <v>52</v>
      </c>
      <c r="B118" t="s">
        <v>228</v>
      </c>
      <c r="C118" s="58">
        <v>20347</v>
      </c>
      <c r="D118" s="58"/>
    </row>
    <row r="119" spans="1:7">
      <c r="A119" t="s">
        <v>66</v>
      </c>
      <c r="B119" t="s">
        <v>229</v>
      </c>
      <c r="C119" s="58">
        <v>1586</v>
      </c>
      <c r="D119" s="58"/>
      <c r="F119">
        <v>1300</v>
      </c>
    </row>
    <row r="120" spans="1:7">
      <c r="A120" t="s">
        <v>79</v>
      </c>
      <c r="B120" t="s">
        <v>230</v>
      </c>
      <c r="C120" s="58"/>
      <c r="D120" s="58">
        <v>177072</v>
      </c>
      <c r="G120">
        <v>88536</v>
      </c>
    </row>
    <row r="121" spans="1:7">
      <c r="A121" t="s">
        <v>79</v>
      </c>
      <c r="B121" t="s">
        <v>231</v>
      </c>
      <c r="C121" s="58"/>
      <c r="D121" s="58">
        <v>7500</v>
      </c>
    </row>
    <row r="122" spans="1:7">
      <c r="A122" t="s">
        <v>68</v>
      </c>
      <c r="B122" t="s">
        <v>232</v>
      </c>
      <c r="C122" s="58">
        <v>-450</v>
      </c>
      <c r="D122" s="58"/>
    </row>
    <row r="123" spans="1:7">
      <c r="A123" t="s">
        <v>77</v>
      </c>
      <c r="B123" t="s">
        <v>233</v>
      </c>
      <c r="C123" s="58"/>
      <c r="D123" s="58">
        <v>6018</v>
      </c>
      <c r="G123">
        <v>800</v>
      </c>
    </row>
    <row r="124" spans="1:7">
      <c r="A124" t="s">
        <v>53</v>
      </c>
      <c r="B124" t="s">
        <v>259</v>
      </c>
      <c r="C124" s="58"/>
      <c r="D124" s="58"/>
      <c r="G124">
        <v>100</v>
      </c>
    </row>
    <row r="125" spans="1:7">
      <c r="A125" t="s">
        <v>68</v>
      </c>
      <c r="B125" t="s">
        <v>260</v>
      </c>
      <c r="C125" s="58"/>
      <c r="D125" s="58"/>
      <c r="G125">
        <v>992</v>
      </c>
    </row>
    <row r="126" spans="1:7">
      <c r="A126" t="s">
        <v>53</v>
      </c>
      <c r="B126" t="s">
        <v>234</v>
      </c>
      <c r="C126" s="58"/>
      <c r="D126" s="58">
        <v>300</v>
      </c>
    </row>
    <row r="127" spans="1:7">
      <c r="A127" t="s">
        <v>53</v>
      </c>
      <c r="B127" t="s">
        <v>235</v>
      </c>
      <c r="C127" s="58"/>
      <c r="D127" s="58">
        <v>370</v>
      </c>
    </row>
    <row r="128" spans="1:7">
      <c r="A128" t="s">
        <v>54</v>
      </c>
      <c r="B128" t="s">
        <v>261</v>
      </c>
      <c r="C128" s="58"/>
      <c r="D128" s="58"/>
      <c r="G128">
        <v>60</v>
      </c>
    </row>
    <row r="129" spans="1:7">
      <c r="A129" t="s">
        <v>275</v>
      </c>
      <c r="B129" t="s">
        <v>262</v>
      </c>
      <c r="C129" s="58"/>
      <c r="D129" s="58"/>
      <c r="G129">
        <v>91</v>
      </c>
    </row>
    <row r="130" spans="1:7">
      <c r="A130" t="s">
        <v>72</v>
      </c>
      <c r="B130" t="s">
        <v>236</v>
      </c>
      <c r="C130" s="58"/>
      <c r="D130" s="58">
        <v>525</v>
      </c>
    </row>
    <row r="131" spans="1:7">
      <c r="A131" t="s">
        <v>44</v>
      </c>
      <c r="B131" t="s">
        <v>237</v>
      </c>
      <c r="C131" s="58"/>
      <c r="D131" s="58">
        <v>10050</v>
      </c>
    </row>
    <row r="132" spans="1:7">
      <c r="A132" t="s">
        <v>64</v>
      </c>
      <c r="B132" t="s">
        <v>238</v>
      </c>
      <c r="C132" s="58"/>
      <c r="D132" s="58">
        <v>1671</v>
      </c>
      <c r="G132">
        <v>1676</v>
      </c>
    </row>
    <row r="133" spans="1:7">
      <c r="A133" t="s">
        <v>64</v>
      </c>
      <c r="B133" t="s">
        <v>239</v>
      </c>
      <c r="C133" s="58"/>
      <c r="D133" s="58">
        <v>1590</v>
      </c>
      <c r="G133">
        <v>1299</v>
      </c>
    </row>
    <row r="134" spans="1:7">
      <c r="A134" t="s">
        <v>64</v>
      </c>
      <c r="B134" t="s">
        <v>240</v>
      </c>
      <c r="C134" s="58"/>
      <c r="D134" s="58">
        <v>1420</v>
      </c>
      <c r="G134">
        <v>590</v>
      </c>
    </row>
    <row r="135" spans="1:7">
      <c r="A135" t="s">
        <v>64</v>
      </c>
      <c r="B135" t="s">
        <v>174</v>
      </c>
      <c r="C135" s="58"/>
      <c r="D135" s="58">
        <v>976</v>
      </c>
      <c r="G135">
        <v>496</v>
      </c>
    </row>
    <row r="136" spans="1:7">
      <c r="A136" t="s">
        <v>46</v>
      </c>
      <c r="B136" t="s">
        <v>172</v>
      </c>
      <c r="C136" s="58"/>
      <c r="D136" s="58">
        <v>2657</v>
      </c>
    </row>
    <row r="137" spans="1:7">
      <c r="A137" t="s">
        <v>46</v>
      </c>
      <c r="B137" t="s">
        <v>173</v>
      </c>
      <c r="C137" s="58"/>
      <c r="D137" s="58">
        <v>3310</v>
      </c>
    </row>
    <row r="138" spans="1:7">
      <c r="A138" t="s">
        <v>46</v>
      </c>
      <c r="B138" t="s">
        <v>171</v>
      </c>
      <c r="C138" s="58"/>
      <c r="D138" s="58">
        <v>1927</v>
      </c>
      <c r="G138">
        <v>1218</v>
      </c>
    </row>
    <row r="139" spans="1:7">
      <c r="A139" t="s">
        <v>52</v>
      </c>
      <c r="B139" t="s">
        <v>263</v>
      </c>
      <c r="C139" s="58"/>
      <c r="D139" s="58"/>
      <c r="G139">
        <v>24439</v>
      </c>
    </row>
    <row r="140" spans="1:7">
      <c r="A140" t="s">
        <v>52</v>
      </c>
      <c r="B140" t="s">
        <v>170</v>
      </c>
      <c r="C140" s="58"/>
      <c r="D140" s="58">
        <v>13951</v>
      </c>
    </row>
    <row r="141" spans="1:7">
      <c r="A141" t="s">
        <v>66</v>
      </c>
      <c r="B141" t="s">
        <v>169</v>
      </c>
      <c r="C141" s="58"/>
      <c r="D141" s="58">
        <v>800</v>
      </c>
    </row>
    <row r="142" spans="1:7">
      <c r="A142" t="s">
        <v>72</v>
      </c>
      <c r="B142" t="s">
        <v>264</v>
      </c>
      <c r="C142" s="58"/>
      <c r="D142" s="58"/>
      <c r="G142">
        <v>609</v>
      </c>
    </row>
    <row r="143" spans="1:7">
      <c r="B143" t="s">
        <v>265</v>
      </c>
      <c r="C143" s="58"/>
      <c r="D143" s="58"/>
      <c r="G143">
        <v>13805</v>
      </c>
    </row>
    <row r="144" spans="1:7">
      <c r="A144" t="s">
        <v>66</v>
      </c>
      <c r="B144" t="s">
        <v>168</v>
      </c>
      <c r="C144" s="58">
        <v>4874</v>
      </c>
      <c r="D144" s="58"/>
      <c r="F144">
        <v>95</v>
      </c>
    </row>
    <row r="145" spans="1:7">
      <c r="A145" t="s">
        <v>51</v>
      </c>
      <c r="B145" t="s">
        <v>167</v>
      </c>
      <c r="C145" s="58"/>
      <c r="D145" s="58">
        <v>2452</v>
      </c>
    </row>
    <row r="146" spans="1:7">
      <c r="A146" t="s">
        <v>51</v>
      </c>
      <c r="B146" t="s">
        <v>166</v>
      </c>
      <c r="C146" s="58">
        <v>5829</v>
      </c>
      <c r="D146" s="58"/>
    </row>
    <row r="147" spans="1:7">
      <c r="C147" s="58">
        <f>SUM(C39:C146)</f>
        <v>363148</v>
      </c>
      <c r="D147" s="58">
        <f>SUM(D39:D146)</f>
        <v>384205</v>
      </c>
      <c r="F147" s="58">
        <f>SUM(F39:F146)</f>
        <v>186069</v>
      </c>
      <c r="G147" s="58">
        <f>SUM(G39:G146)</f>
        <v>150282</v>
      </c>
    </row>
    <row r="148" spans="1:7">
      <c r="A148" t="s">
        <v>144</v>
      </c>
      <c r="C148" s="58">
        <f>D147-C147</f>
        <v>21057</v>
      </c>
      <c r="D148" s="58"/>
    </row>
    <row r="149" spans="1:7">
      <c r="A149" t="s">
        <v>248</v>
      </c>
      <c r="C149" s="58"/>
      <c r="D149" s="58"/>
      <c r="G149" s="60">
        <f>F147-G147</f>
        <v>35787</v>
      </c>
    </row>
  </sheetData>
  <autoFilter ref="A1:M149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36"/>
  <sheetViews>
    <sheetView topLeftCell="A86" workbookViewId="0">
      <selection activeCell="L133" sqref="L133"/>
    </sheetView>
  </sheetViews>
  <sheetFormatPr defaultRowHeight="15"/>
  <cols>
    <col min="1" max="1" width="28.5703125" bestFit="1" customWidth="1"/>
    <col min="2" max="2" width="6.7109375" bestFit="1" customWidth="1"/>
  </cols>
  <sheetData>
    <row r="1" spans="1:3">
      <c r="A1" t="s">
        <v>274</v>
      </c>
      <c r="B1">
        <v>40000</v>
      </c>
      <c r="C1" t="s">
        <v>274</v>
      </c>
    </row>
    <row r="2" spans="1:3">
      <c r="A2" t="s">
        <v>274</v>
      </c>
      <c r="B2">
        <v>40001</v>
      </c>
      <c r="C2" t="s">
        <v>274</v>
      </c>
    </row>
    <row r="3" spans="1:3">
      <c r="A3" t="s">
        <v>274</v>
      </c>
      <c r="B3">
        <v>40002</v>
      </c>
      <c r="C3" t="s">
        <v>274</v>
      </c>
    </row>
    <row r="4" spans="1:3">
      <c r="A4" t="s">
        <v>274</v>
      </c>
      <c r="B4">
        <v>40003</v>
      </c>
      <c r="C4" t="s">
        <v>274</v>
      </c>
    </row>
    <row r="5" spans="1:3">
      <c r="A5" t="s">
        <v>274</v>
      </c>
      <c r="B5">
        <v>40004</v>
      </c>
      <c r="C5" t="s">
        <v>274</v>
      </c>
    </row>
    <row r="6" spans="1:3">
      <c r="A6" t="s">
        <v>274</v>
      </c>
      <c r="B6">
        <v>40010</v>
      </c>
      <c r="C6" t="s">
        <v>274</v>
      </c>
    </row>
    <row r="7" spans="1:3">
      <c r="A7" t="s">
        <v>274</v>
      </c>
      <c r="B7">
        <v>40011</v>
      </c>
      <c r="C7" t="s">
        <v>274</v>
      </c>
    </row>
    <row r="8" spans="1:3">
      <c r="A8" t="s">
        <v>274</v>
      </c>
      <c r="B8">
        <v>40015</v>
      </c>
      <c r="C8" t="s">
        <v>274</v>
      </c>
    </row>
    <row r="9" spans="1:3">
      <c r="A9" t="s">
        <v>274</v>
      </c>
      <c r="B9">
        <v>40016</v>
      </c>
      <c r="C9" t="s">
        <v>274</v>
      </c>
    </row>
    <row r="10" spans="1:3">
      <c r="A10" t="s">
        <v>274</v>
      </c>
      <c r="B10">
        <v>40017</v>
      </c>
      <c r="C10" t="s">
        <v>274</v>
      </c>
    </row>
    <row r="11" spans="1:3">
      <c r="A11" t="s">
        <v>274</v>
      </c>
      <c r="B11">
        <v>40018</v>
      </c>
      <c r="C11" t="s">
        <v>274</v>
      </c>
    </row>
    <row r="12" spans="1:3">
      <c r="A12" t="s">
        <v>274</v>
      </c>
      <c r="B12">
        <v>40021</v>
      </c>
      <c r="C12" t="s">
        <v>274</v>
      </c>
    </row>
    <row r="13" spans="1:3">
      <c r="A13" t="s">
        <v>274</v>
      </c>
      <c r="B13">
        <v>40030</v>
      </c>
      <c r="C13" t="s">
        <v>274</v>
      </c>
    </row>
    <row r="14" spans="1:3">
      <c r="A14" t="s">
        <v>274</v>
      </c>
      <c r="B14">
        <v>40040</v>
      </c>
      <c r="C14" t="s">
        <v>274</v>
      </c>
    </row>
    <row r="15" spans="1:3">
      <c r="A15" t="s">
        <v>63</v>
      </c>
      <c r="B15">
        <v>40100</v>
      </c>
      <c r="C15" t="s">
        <v>63</v>
      </c>
    </row>
    <row r="16" spans="1:3">
      <c r="A16" t="s">
        <v>56</v>
      </c>
      <c r="B16">
        <v>40205</v>
      </c>
      <c r="C16" t="s">
        <v>56</v>
      </c>
    </row>
    <row r="17" spans="1:3">
      <c r="A17" t="s">
        <v>72</v>
      </c>
      <c r="B17">
        <v>40207</v>
      </c>
      <c r="C17" t="s">
        <v>72</v>
      </c>
    </row>
    <row r="18" spans="1:3">
      <c r="A18" t="s">
        <v>72</v>
      </c>
      <c r="B18">
        <v>40220</v>
      </c>
      <c r="C18" t="s">
        <v>72</v>
      </c>
    </row>
    <row r="19" spans="1:3">
      <c r="A19" t="s">
        <v>72</v>
      </c>
      <c r="B19">
        <v>40221</v>
      </c>
      <c r="C19" t="s">
        <v>72</v>
      </c>
    </row>
    <row r="20" spans="1:3">
      <c r="A20" t="s">
        <v>72</v>
      </c>
      <c r="B20">
        <v>40222</v>
      </c>
      <c r="C20" t="s">
        <v>72</v>
      </c>
    </row>
    <row r="21" spans="1:3">
      <c r="A21" t="s">
        <v>48</v>
      </c>
      <c r="B21">
        <v>40224</v>
      </c>
      <c r="C21" t="s">
        <v>48</v>
      </c>
    </row>
    <row r="22" spans="1:3">
      <c r="A22" t="s">
        <v>72</v>
      </c>
      <c r="B22">
        <v>40225</v>
      </c>
      <c r="C22" t="s">
        <v>72</v>
      </c>
    </row>
    <row r="23" spans="1:3">
      <c r="A23" t="s">
        <v>72</v>
      </c>
      <c r="B23">
        <v>40226</v>
      </c>
      <c r="C23" t="s">
        <v>72</v>
      </c>
    </row>
    <row r="24" spans="1:3">
      <c r="A24" t="s">
        <v>72</v>
      </c>
      <c r="B24">
        <v>40227</v>
      </c>
      <c r="C24" t="s">
        <v>72</v>
      </c>
    </row>
    <row r="25" spans="1:3">
      <c r="A25" t="s">
        <v>72</v>
      </c>
      <c r="B25">
        <v>40228</v>
      </c>
      <c r="C25" t="s">
        <v>72</v>
      </c>
    </row>
    <row r="26" spans="1:3">
      <c r="A26" t="s">
        <v>72</v>
      </c>
      <c r="B26">
        <v>40229</v>
      </c>
      <c r="C26" t="s">
        <v>72</v>
      </c>
    </row>
    <row r="27" spans="1:3">
      <c r="A27" t="s">
        <v>72</v>
      </c>
      <c r="B27">
        <v>40230</v>
      </c>
      <c r="C27" t="s">
        <v>72</v>
      </c>
    </row>
    <row r="28" spans="1:3">
      <c r="A28" t="s">
        <v>72</v>
      </c>
      <c r="B28">
        <v>40233</v>
      </c>
      <c r="C28" t="s">
        <v>72</v>
      </c>
    </row>
    <row r="29" spans="1:3">
      <c r="A29" t="s">
        <v>72</v>
      </c>
      <c r="B29">
        <v>40235</v>
      </c>
      <c r="C29" t="s">
        <v>72</v>
      </c>
    </row>
    <row r="30" spans="1:3">
      <c r="A30" t="s">
        <v>72</v>
      </c>
      <c r="B30">
        <v>40250</v>
      </c>
      <c r="C30" t="s">
        <v>72</v>
      </c>
    </row>
    <row r="31" spans="1:3">
      <c r="A31" t="s">
        <v>59</v>
      </c>
      <c r="B31">
        <v>40302</v>
      </c>
      <c r="C31" t="s">
        <v>59</v>
      </c>
    </row>
    <row r="32" spans="1:3">
      <c r="A32" t="s">
        <v>61</v>
      </c>
      <c r="B32">
        <v>40304</v>
      </c>
      <c r="C32" t="s">
        <v>61</v>
      </c>
    </row>
    <row r="33" spans="1:3">
      <c r="A33" t="s">
        <v>58</v>
      </c>
      <c r="B33">
        <v>40307</v>
      </c>
      <c r="C33" t="s">
        <v>58</v>
      </c>
    </row>
    <row r="34" spans="1:3">
      <c r="A34" t="s">
        <v>58</v>
      </c>
      <c r="B34">
        <v>41000</v>
      </c>
      <c r="C34" t="s">
        <v>58</v>
      </c>
    </row>
    <row r="35" spans="1:3">
      <c r="A35" t="s">
        <v>58</v>
      </c>
      <c r="B35">
        <v>41001</v>
      </c>
      <c r="C35" t="s">
        <v>58</v>
      </c>
    </row>
    <row r="36" spans="1:3">
      <c r="A36" t="s">
        <v>58</v>
      </c>
      <c r="B36">
        <v>42000</v>
      </c>
      <c r="C36" t="s">
        <v>58</v>
      </c>
    </row>
    <row r="37" spans="1:3">
      <c r="A37" t="s">
        <v>80</v>
      </c>
      <c r="B37">
        <v>50000</v>
      </c>
      <c r="C37" t="s">
        <v>80</v>
      </c>
    </row>
    <row r="38" spans="1:3">
      <c r="A38" t="s">
        <v>80</v>
      </c>
      <c r="B38">
        <v>50001</v>
      </c>
      <c r="C38" t="s">
        <v>80</v>
      </c>
    </row>
    <row r="39" spans="1:3">
      <c r="A39" t="s">
        <v>80</v>
      </c>
      <c r="B39">
        <v>50002</v>
      </c>
      <c r="C39" t="s">
        <v>80</v>
      </c>
    </row>
    <row r="40" spans="1:3">
      <c r="A40" t="s">
        <v>79</v>
      </c>
      <c r="B40">
        <v>51000</v>
      </c>
      <c r="C40" t="s">
        <v>79</v>
      </c>
    </row>
    <row r="41" spans="1:3">
      <c r="A41" t="s">
        <v>72</v>
      </c>
      <c r="B41">
        <v>52000</v>
      </c>
      <c r="C41" t="s">
        <v>72</v>
      </c>
    </row>
    <row r="42" spans="1:3">
      <c r="A42" t="s">
        <v>72</v>
      </c>
      <c r="B42">
        <v>59000</v>
      </c>
      <c r="C42" t="s">
        <v>72</v>
      </c>
    </row>
    <row r="43" spans="1:3">
      <c r="A43" t="s">
        <v>58</v>
      </c>
      <c r="B43">
        <v>59001</v>
      </c>
      <c r="C43" t="s">
        <v>58</v>
      </c>
    </row>
    <row r="44" spans="1:3">
      <c r="A44" t="s">
        <v>68</v>
      </c>
      <c r="B44">
        <v>60101</v>
      </c>
      <c r="C44" t="s">
        <v>68</v>
      </c>
    </row>
    <row r="45" spans="1:3">
      <c r="A45" t="s">
        <v>68</v>
      </c>
      <c r="B45">
        <v>60102</v>
      </c>
      <c r="C45" t="s">
        <v>68</v>
      </c>
    </row>
    <row r="46" spans="1:3">
      <c r="A46" t="s">
        <v>53</v>
      </c>
      <c r="B46">
        <v>60103</v>
      </c>
      <c r="C46" t="s">
        <v>53</v>
      </c>
    </row>
    <row r="47" spans="1:3">
      <c r="A47" t="s">
        <v>53</v>
      </c>
      <c r="B47">
        <v>60104</v>
      </c>
      <c r="C47" t="s">
        <v>53</v>
      </c>
    </row>
    <row r="48" spans="1:3">
      <c r="A48" t="s">
        <v>53</v>
      </c>
      <c r="B48">
        <v>60105</v>
      </c>
      <c r="C48" t="s">
        <v>53</v>
      </c>
    </row>
    <row r="49" spans="1:3">
      <c r="A49" t="s">
        <v>53</v>
      </c>
      <c r="B49">
        <v>60106</v>
      </c>
      <c r="C49" t="s">
        <v>53</v>
      </c>
    </row>
    <row r="50" spans="1:3">
      <c r="A50" t="s">
        <v>68</v>
      </c>
      <c r="B50">
        <v>60107</v>
      </c>
      <c r="C50" t="s">
        <v>68</v>
      </c>
    </row>
    <row r="51" spans="1:3">
      <c r="A51" t="s">
        <v>68</v>
      </c>
      <c r="B51">
        <v>60109</v>
      </c>
      <c r="C51" t="s">
        <v>68</v>
      </c>
    </row>
    <row r="52" spans="1:3">
      <c r="A52" t="s">
        <v>77</v>
      </c>
      <c r="B52">
        <v>60201</v>
      </c>
      <c r="C52" t="s">
        <v>77</v>
      </c>
    </row>
    <row r="53" spans="1:3">
      <c r="A53" t="s">
        <v>68</v>
      </c>
      <c r="B53">
        <v>60202</v>
      </c>
      <c r="C53" t="s">
        <v>68</v>
      </c>
    </row>
    <row r="54" spans="1:3">
      <c r="A54" t="s">
        <v>53</v>
      </c>
      <c r="B54">
        <v>60301</v>
      </c>
      <c r="C54" t="s">
        <v>53</v>
      </c>
    </row>
    <row r="55" spans="1:3">
      <c r="A55" t="s">
        <v>53</v>
      </c>
      <c r="B55">
        <v>60302</v>
      </c>
      <c r="C55" t="s">
        <v>53</v>
      </c>
    </row>
    <row r="56" spans="1:3">
      <c r="A56" t="s">
        <v>53</v>
      </c>
      <c r="B56">
        <v>60303</v>
      </c>
      <c r="C56" t="s">
        <v>53</v>
      </c>
    </row>
    <row r="57" spans="1:3">
      <c r="A57" t="s">
        <v>53</v>
      </c>
      <c r="B57">
        <v>60304</v>
      </c>
      <c r="C57" t="s">
        <v>53</v>
      </c>
    </row>
    <row r="58" spans="1:3">
      <c r="A58" t="s">
        <v>68</v>
      </c>
      <c r="B58">
        <v>60401</v>
      </c>
      <c r="C58" t="s">
        <v>68</v>
      </c>
    </row>
    <row r="59" spans="1:3">
      <c r="A59" t="s">
        <v>53</v>
      </c>
      <c r="B59">
        <v>60403</v>
      </c>
      <c r="C59" t="s">
        <v>53</v>
      </c>
    </row>
    <row r="60" spans="1:3">
      <c r="A60" t="s">
        <v>53</v>
      </c>
      <c r="B60">
        <v>60404</v>
      </c>
      <c r="C60" t="s">
        <v>53</v>
      </c>
    </row>
    <row r="61" spans="1:3">
      <c r="A61" t="s">
        <v>53</v>
      </c>
      <c r="B61">
        <v>60405</v>
      </c>
      <c r="C61" t="s">
        <v>53</v>
      </c>
    </row>
    <row r="62" spans="1:3">
      <c r="A62" t="s">
        <v>54</v>
      </c>
      <c r="B62">
        <v>60604</v>
      </c>
      <c r="C62" t="s">
        <v>54</v>
      </c>
    </row>
    <row r="63" spans="1:3">
      <c r="A63" t="s">
        <v>68</v>
      </c>
      <c r="B63">
        <v>60609</v>
      </c>
      <c r="C63" t="s">
        <v>68</v>
      </c>
    </row>
    <row r="64" spans="1:3">
      <c r="A64" t="s">
        <v>275</v>
      </c>
      <c r="B64">
        <v>60700</v>
      </c>
      <c r="C64" t="s">
        <v>275</v>
      </c>
    </row>
    <row r="65" spans="1:3">
      <c r="A65" t="s">
        <v>275</v>
      </c>
      <c r="B65">
        <v>60701</v>
      </c>
      <c r="C65" t="s">
        <v>275</v>
      </c>
    </row>
    <row r="66" spans="1:3">
      <c r="A66" t="s">
        <v>275</v>
      </c>
      <c r="B66">
        <v>60702</v>
      </c>
      <c r="C66" t="s">
        <v>275</v>
      </c>
    </row>
    <row r="67" spans="1:3">
      <c r="A67" t="s">
        <v>44</v>
      </c>
      <c r="B67">
        <v>61001</v>
      </c>
      <c r="C67" t="s">
        <v>44</v>
      </c>
    </row>
    <row r="68" spans="1:3">
      <c r="A68" t="s">
        <v>64</v>
      </c>
      <c r="B68">
        <v>61101</v>
      </c>
      <c r="C68" t="s">
        <v>64</v>
      </c>
    </row>
    <row r="69" spans="1:3">
      <c r="A69" t="s">
        <v>64</v>
      </c>
      <c r="B69">
        <v>61102</v>
      </c>
      <c r="C69" t="s">
        <v>64</v>
      </c>
    </row>
    <row r="70" spans="1:3">
      <c r="A70" t="s">
        <v>64</v>
      </c>
      <c r="B70">
        <v>61103</v>
      </c>
      <c r="C70" t="s">
        <v>64</v>
      </c>
    </row>
    <row r="71" spans="1:3">
      <c r="A71" t="s">
        <v>64</v>
      </c>
      <c r="B71">
        <v>61104</v>
      </c>
      <c r="C71" t="s">
        <v>64</v>
      </c>
    </row>
    <row r="72" spans="1:3">
      <c r="A72" t="s">
        <v>52</v>
      </c>
      <c r="B72">
        <v>61109</v>
      </c>
      <c r="C72" t="s">
        <v>52</v>
      </c>
    </row>
    <row r="73" spans="1:3">
      <c r="A73" t="s">
        <v>46</v>
      </c>
      <c r="B73">
        <v>61201</v>
      </c>
      <c r="C73" t="s">
        <v>46</v>
      </c>
    </row>
    <row r="74" spans="1:3">
      <c r="A74" t="s">
        <v>46</v>
      </c>
      <c r="B74">
        <v>61202</v>
      </c>
      <c r="C74" t="s">
        <v>46</v>
      </c>
    </row>
    <row r="75" spans="1:3">
      <c r="A75" t="s">
        <v>46</v>
      </c>
      <c r="B75">
        <v>61203</v>
      </c>
      <c r="C75" t="s">
        <v>46</v>
      </c>
    </row>
    <row r="76" spans="1:3">
      <c r="A76" t="s">
        <v>46</v>
      </c>
      <c r="B76">
        <v>61205</v>
      </c>
      <c r="C76" t="s">
        <v>46</v>
      </c>
    </row>
    <row r="77" spans="1:3">
      <c r="A77" t="s">
        <v>46</v>
      </c>
      <c r="B77">
        <v>61209</v>
      </c>
      <c r="C77" t="s">
        <v>46</v>
      </c>
    </row>
    <row r="78" spans="1:3">
      <c r="A78" t="s">
        <v>52</v>
      </c>
      <c r="B78">
        <v>61301</v>
      </c>
      <c r="C78" t="s">
        <v>52</v>
      </c>
    </row>
    <row r="79" spans="1:3">
      <c r="A79" t="s">
        <v>52</v>
      </c>
      <c r="B79">
        <v>61302</v>
      </c>
      <c r="C79" t="s">
        <v>52</v>
      </c>
    </row>
    <row r="80" spans="1:3">
      <c r="A80" t="s">
        <v>52</v>
      </c>
      <c r="B80">
        <v>61305</v>
      </c>
      <c r="C80" t="s">
        <v>52</v>
      </c>
    </row>
    <row r="81" spans="1:3">
      <c r="A81" t="s">
        <v>66</v>
      </c>
      <c r="B81">
        <v>67000</v>
      </c>
      <c r="C81" t="s">
        <v>66</v>
      </c>
    </row>
    <row r="82" spans="1:3">
      <c r="B82">
        <v>70000</v>
      </c>
      <c r="C82" t="s">
        <v>79</v>
      </c>
    </row>
    <row r="83" spans="1:3">
      <c r="A83" t="s">
        <v>79</v>
      </c>
      <c r="B83">
        <v>70005</v>
      </c>
      <c r="C83" t="s">
        <v>79</v>
      </c>
    </row>
    <row r="84" spans="1:3">
      <c r="A84" t="s">
        <v>79</v>
      </c>
      <c r="B84">
        <v>70008</v>
      </c>
      <c r="C84" t="s">
        <v>79</v>
      </c>
    </row>
    <row r="85" spans="1:3">
      <c r="A85" t="s">
        <v>68</v>
      </c>
      <c r="B85">
        <v>70109</v>
      </c>
      <c r="C85" t="s">
        <v>68</v>
      </c>
    </row>
    <row r="86" spans="1:3">
      <c r="A86" t="s">
        <v>77</v>
      </c>
      <c r="B86">
        <v>70201</v>
      </c>
      <c r="C86" t="s">
        <v>77</v>
      </c>
    </row>
    <row r="87" spans="1:3">
      <c r="A87" t="s">
        <v>53</v>
      </c>
      <c r="B87">
        <v>70304</v>
      </c>
      <c r="C87" t="s">
        <v>53</v>
      </c>
    </row>
    <row r="88" spans="1:3">
      <c r="A88" t="s">
        <v>68</v>
      </c>
      <c r="B88">
        <v>70401</v>
      </c>
      <c r="C88" t="s">
        <v>68</v>
      </c>
    </row>
    <row r="89" spans="1:3">
      <c r="A89" t="s">
        <v>53</v>
      </c>
      <c r="B89">
        <v>70404</v>
      </c>
      <c r="C89" t="s">
        <v>53</v>
      </c>
    </row>
    <row r="90" spans="1:3">
      <c r="A90" t="s">
        <v>53</v>
      </c>
      <c r="B90">
        <v>70405</v>
      </c>
      <c r="C90" t="s">
        <v>53</v>
      </c>
    </row>
    <row r="91" spans="1:3">
      <c r="A91" t="s">
        <v>54</v>
      </c>
      <c r="B91">
        <v>70604</v>
      </c>
      <c r="C91" t="s">
        <v>54</v>
      </c>
    </row>
    <row r="92" spans="1:3">
      <c r="A92" t="s">
        <v>275</v>
      </c>
      <c r="B92">
        <v>70700</v>
      </c>
      <c r="C92" t="s">
        <v>275</v>
      </c>
    </row>
    <row r="93" spans="1:3">
      <c r="A93" t="s">
        <v>72</v>
      </c>
      <c r="B93">
        <v>70710</v>
      </c>
      <c r="C93" t="s">
        <v>72</v>
      </c>
    </row>
    <row r="94" spans="1:3">
      <c r="A94" t="s">
        <v>44</v>
      </c>
      <c r="B94">
        <v>71001</v>
      </c>
      <c r="C94" t="s">
        <v>44</v>
      </c>
    </row>
    <row r="95" spans="1:3">
      <c r="A95" t="s">
        <v>64</v>
      </c>
      <c r="B95">
        <v>71101</v>
      </c>
      <c r="C95" t="s">
        <v>64</v>
      </c>
    </row>
    <row r="96" spans="1:3">
      <c r="A96" t="s">
        <v>64</v>
      </c>
      <c r="B96">
        <v>71102</v>
      </c>
      <c r="C96" t="s">
        <v>64</v>
      </c>
    </row>
    <row r="97" spans="1:3">
      <c r="A97" t="s">
        <v>64</v>
      </c>
      <c r="B97">
        <v>71103</v>
      </c>
      <c r="C97" t="s">
        <v>64</v>
      </c>
    </row>
    <row r="98" spans="1:3">
      <c r="A98" t="s">
        <v>64</v>
      </c>
      <c r="B98">
        <v>71104</v>
      </c>
      <c r="C98" t="s">
        <v>64</v>
      </c>
    </row>
    <row r="99" spans="1:3">
      <c r="A99" t="s">
        <v>46</v>
      </c>
      <c r="B99">
        <v>71201</v>
      </c>
      <c r="C99" t="s">
        <v>46</v>
      </c>
    </row>
    <row r="100" spans="1:3">
      <c r="A100" t="s">
        <v>46</v>
      </c>
      <c r="B100">
        <v>71203</v>
      </c>
      <c r="C100" t="s">
        <v>46</v>
      </c>
    </row>
    <row r="101" spans="1:3">
      <c r="A101" t="s">
        <v>46</v>
      </c>
      <c r="B101">
        <v>71209</v>
      </c>
      <c r="C101" t="s">
        <v>46</v>
      </c>
    </row>
    <row r="102" spans="1:3">
      <c r="A102" t="s">
        <v>52</v>
      </c>
      <c r="B102">
        <v>71301</v>
      </c>
      <c r="C102" t="s">
        <v>52</v>
      </c>
    </row>
    <row r="103" spans="1:3">
      <c r="A103" t="s">
        <v>52</v>
      </c>
      <c r="B103">
        <v>71305</v>
      </c>
      <c r="C103" t="s">
        <v>52</v>
      </c>
    </row>
    <row r="104" spans="1:3">
      <c r="A104" t="s">
        <v>66</v>
      </c>
      <c r="B104">
        <v>73101</v>
      </c>
      <c r="C104" t="s">
        <v>66</v>
      </c>
    </row>
    <row r="105" spans="1:3">
      <c r="A105" t="s">
        <v>72</v>
      </c>
      <c r="B105">
        <v>76000</v>
      </c>
      <c r="C105" t="s">
        <v>72</v>
      </c>
    </row>
    <row r="106" spans="1:3">
      <c r="A106" t="s">
        <v>66</v>
      </c>
      <c r="B106">
        <v>80201</v>
      </c>
      <c r="C106" t="s">
        <v>66</v>
      </c>
    </row>
    <row r="107" spans="1:3">
      <c r="A107" t="s">
        <v>51</v>
      </c>
      <c r="B107">
        <v>90000</v>
      </c>
      <c r="C107" t="s">
        <v>51</v>
      </c>
    </row>
    <row r="108" spans="1:3">
      <c r="A108" t="s">
        <v>51</v>
      </c>
      <c r="B108">
        <v>90001</v>
      </c>
      <c r="C108" t="s">
        <v>51</v>
      </c>
    </row>
    <row r="109" spans="1:3">
      <c r="A109" t="s">
        <v>274</v>
      </c>
      <c r="B109" s="102">
        <v>40012</v>
      </c>
      <c r="C109" t="s">
        <v>274</v>
      </c>
    </row>
    <row r="110" spans="1:3">
      <c r="A110" t="s">
        <v>274</v>
      </c>
      <c r="B110" s="81">
        <v>40019</v>
      </c>
      <c r="C110" t="s">
        <v>274</v>
      </c>
    </row>
    <row r="111" spans="1:3">
      <c r="A111" t="s">
        <v>274</v>
      </c>
      <c r="B111">
        <v>60601</v>
      </c>
      <c r="C111" t="s">
        <v>274</v>
      </c>
    </row>
    <row r="112" spans="1:3">
      <c r="A112" t="s">
        <v>46</v>
      </c>
      <c r="B112" s="81">
        <v>61204</v>
      </c>
      <c r="C112" t="s">
        <v>46</v>
      </c>
    </row>
    <row r="113" spans="1:3">
      <c r="A113" t="s">
        <v>72</v>
      </c>
      <c r="B113" s="102">
        <v>76001</v>
      </c>
      <c r="C113" t="s">
        <v>72</v>
      </c>
    </row>
    <row r="114" spans="1:3">
      <c r="A114" t="s">
        <v>79</v>
      </c>
      <c r="B114" s="102">
        <v>70001</v>
      </c>
      <c r="C114" t="s">
        <v>79</v>
      </c>
    </row>
    <row r="115" spans="1:3">
      <c r="A115" t="s">
        <v>72</v>
      </c>
      <c r="B115" s="102">
        <v>66000</v>
      </c>
      <c r="C115" t="s">
        <v>72</v>
      </c>
    </row>
    <row r="116" spans="1:3">
      <c r="B116" s="102">
        <v>60800</v>
      </c>
    </row>
    <row r="117" spans="1:3">
      <c r="A117" t="s">
        <v>44</v>
      </c>
      <c r="B117" s="102">
        <v>61401</v>
      </c>
      <c r="C117" t="s">
        <v>44</v>
      </c>
    </row>
    <row r="118" spans="1:3">
      <c r="A118" t="s">
        <v>274</v>
      </c>
      <c r="B118">
        <v>15047</v>
      </c>
      <c r="C118" t="s">
        <v>274</v>
      </c>
    </row>
    <row r="119" spans="1:3">
      <c r="A119" t="s">
        <v>72</v>
      </c>
      <c r="B119">
        <v>40202</v>
      </c>
      <c r="C119" t="s">
        <v>72</v>
      </c>
    </row>
    <row r="120" spans="1:3">
      <c r="A120" t="s">
        <v>72</v>
      </c>
      <c r="B120">
        <v>40234</v>
      </c>
      <c r="C120" t="s">
        <v>72</v>
      </c>
    </row>
    <row r="121" spans="1:3">
      <c r="A121" t="s">
        <v>59</v>
      </c>
      <c r="B121">
        <v>40305</v>
      </c>
      <c r="C121" t="s">
        <v>59</v>
      </c>
    </row>
    <row r="122" spans="1:3">
      <c r="A122" t="s">
        <v>79</v>
      </c>
      <c r="B122">
        <v>51001</v>
      </c>
      <c r="C122" t="s">
        <v>79</v>
      </c>
    </row>
    <row r="123" spans="1:3">
      <c r="A123" t="s">
        <v>481</v>
      </c>
      <c r="B123">
        <v>51002</v>
      </c>
      <c r="C123" t="s">
        <v>481</v>
      </c>
    </row>
    <row r="124" spans="1:3">
      <c r="A124" t="s">
        <v>53</v>
      </c>
      <c r="B124">
        <v>60602</v>
      </c>
      <c r="C124" t="s">
        <v>53</v>
      </c>
    </row>
    <row r="125" spans="1:3">
      <c r="A125" t="s">
        <v>61</v>
      </c>
      <c r="B125">
        <v>60900</v>
      </c>
      <c r="C125" t="s">
        <v>61</v>
      </c>
    </row>
    <row r="126" spans="1:3">
      <c r="A126" t="s">
        <v>68</v>
      </c>
      <c r="B126">
        <v>70101</v>
      </c>
      <c r="C126" t="s">
        <v>68</v>
      </c>
    </row>
    <row r="127" spans="1:3">
      <c r="A127" t="s">
        <v>53</v>
      </c>
      <c r="B127">
        <v>70104</v>
      </c>
      <c r="C127" t="s">
        <v>53</v>
      </c>
    </row>
    <row r="128" spans="1:3">
      <c r="A128" t="s">
        <v>53</v>
      </c>
      <c r="B128">
        <v>70106</v>
      </c>
      <c r="C128" t="s">
        <v>53</v>
      </c>
    </row>
    <row r="129" spans="1:3">
      <c r="A129" t="s">
        <v>53</v>
      </c>
      <c r="B129">
        <v>70107</v>
      </c>
      <c r="C129" t="s">
        <v>53</v>
      </c>
    </row>
    <row r="130" spans="1:3">
      <c r="A130" t="s">
        <v>53</v>
      </c>
      <c r="B130">
        <v>70303</v>
      </c>
      <c r="C130" t="s">
        <v>53</v>
      </c>
    </row>
    <row r="131" spans="1:3">
      <c r="A131" t="s">
        <v>53</v>
      </c>
      <c r="B131">
        <v>70603</v>
      </c>
      <c r="C131" t="s">
        <v>53</v>
      </c>
    </row>
    <row r="132" spans="1:3">
      <c r="A132" t="s">
        <v>275</v>
      </c>
      <c r="B132">
        <v>70701</v>
      </c>
      <c r="C132" t="s">
        <v>275</v>
      </c>
    </row>
    <row r="133" spans="1:3">
      <c r="A133" t="s">
        <v>79</v>
      </c>
      <c r="B133">
        <v>78000</v>
      </c>
      <c r="C133" t="s">
        <v>79</v>
      </c>
    </row>
    <row r="134" spans="1:3">
      <c r="A134" t="s">
        <v>79</v>
      </c>
      <c r="B134">
        <v>78090</v>
      </c>
      <c r="C134" t="s">
        <v>79</v>
      </c>
    </row>
    <row r="135" spans="1:3">
      <c r="A135" t="s">
        <v>61</v>
      </c>
      <c r="B135">
        <v>80301</v>
      </c>
      <c r="C135" t="s">
        <v>61</v>
      </c>
    </row>
    <row r="136" spans="1:3">
      <c r="A136" t="s">
        <v>72</v>
      </c>
      <c r="B136">
        <v>90002</v>
      </c>
      <c r="C136" t="s">
        <v>72</v>
      </c>
    </row>
  </sheetData>
  <autoFilter ref="A1:C11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H23" sqref="H23"/>
    </sheetView>
  </sheetViews>
  <sheetFormatPr defaultRowHeight="15"/>
  <cols>
    <col min="2" max="2" width="46.5703125" bestFit="1" customWidth="1"/>
    <col min="3" max="3" width="10.5703125" bestFit="1" customWidth="1"/>
    <col min="4" max="4" width="11.28515625" bestFit="1" customWidth="1"/>
  </cols>
  <sheetData>
    <row r="1" spans="1:5" ht="15.75" thickBot="1">
      <c r="A1" s="72" t="s">
        <v>121</v>
      </c>
      <c r="B1" s="73" t="s">
        <v>344</v>
      </c>
      <c r="C1" s="73">
        <v>2022</v>
      </c>
      <c r="D1" s="74">
        <v>2021</v>
      </c>
    </row>
    <row r="2" spans="1:5">
      <c r="A2" t="s">
        <v>284</v>
      </c>
      <c r="B2" s="75" t="s">
        <v>285</v>
      </c>
      <c r="C2" s="78">
        <v>1269.3499999999999</v>
      </c>
      <c r="D2" s="78">
        <v>1269.3499999999999</v>
      </c>
    </row>
    <row r="3" spans="1:5">
      <c r="A3" t="s">
        <v>286</v>
      </c>
      <c r="B3" s="76" t="s">
        <v>287</v>
      </c>
      <c r="C3" s="79">
        <v>5970.25</v>
      </c>
      <c r="D3" s="79">
        <v>10000</v>
      </c>
    </row>
    <row r="4" spans="1:5">
      <c r="A4" t="s">
        <v>288</v>
      </c>
      <c r="B4" s="76" t="s">
        <v>289</v>
      </c>
      <c r="C4" s="79">
        <v>-258073.4</v>
      </c>
      <c r="D4" s="79">
        <v>-258073.4</v>
      </c>
      <c r="E4" s="68"/>
    </row>
    <row r="5" spans="1:5">
      <c r="A5" t="s">
        <v>290</v>
      </c>
      <c r="B5" s="76" t="s">
        <v>291</v>
      </c>
      <c r="C5" s="79">
        <v>-11231.0899999997</v>
      </c>
      <c r="D5" s="79">
        <v>-11231.0899999997</v>
      </c>
      <c r="E5" s="68"/>
    </row>
    <row r="6" spans="1:5">
      <c r="A6" t="s">
        <v>292</v>
      </c>
      <c r="B6" s="76" t="s">
        <v>293</v>
      </c>
      <c r="C6" s="79">
        <v>-12000</v>
      </c>
      <c r="D6" s="79">
        <v>-12000</v>
      </c>
      <c r="E6" s="68"/>
    </row>
    <row r="7" spans="1:5">
      <c r="A7" t="s">
        <v>294</v>
      </c>
      <c r="B7" s="76" t="s">
        <v>295</v>
      </c>
      <c r="C7" s="79">
        <v>-4197.21</v>
      </c>
      <c r="D7" s="79">
        <v>-4197.21</v>
      </c>
      <c r="E7" s="68"/>
    </row>
    <row r="8" spans="1:5">
      <c r="A8" t="s">
        <v>296</v>
      </c>
      <c r="B8" s="76" t="s">
        <v>297</v>
      </c>
      <c r="C8" s="79">
        <v>-2418</v>
      </c>
      <c r="D8" s="79">
        <v>-2918</v>
      </c>
      <c r="E8" s="68"/>
    </row>
    <row r="9" spans="1:5">
      <c r="A9" t="s">
        <v>298</v>
      </c>
      <c r="B9" s="76" t="s">
        <v>299</v>
      </c>
      <c r="C9" s="79">
        <v>-10662.05</v>
      </c>
      <c r="D9" s="79">
        <v>-10662.05</v>
      </c>
      <c r="E9" s="68"/>
    </row>
    <row r="10" spans="1:5">
      <c r="A10" t="s">
        <v>300</v>
      </c>
      <c r="B10" s="76" t="s">
        <v>301</v>
      </c>
      <c r="C10" s="79">
        <v>150</v>
      </c>
      <c r="D10" s="79"/>
    </row>
    <row r="11" spans="1:5">
      <c r="A11" t="s">
        <v>302</v>
      </c>
      <c r="B11" s="76" t="s">
        <v>303</v>
      </c>
      <c r="C11" s="79">
        <v>-3572.17</v>
      </c>
      <c r="D11" s="79">
        <v>-250</v>
      </c>
      <c r="E11" s="68"/>
    </row>
    <row r="12" spans="1:5">
      <c r="A12" t="s">
        <v>304</v>
      </c>
      <c r="B12" s="76" t="s">
        <v>305</v>
      </c>
      <c r="C12" s="79">
        <v>-47637.98</v>
      </c>
      <c r="D12" s="79">
        <v>-151606</v>
      </c>
      <c r="E12" s="68"/>
    </row>
    <row r="13" spans="1:5">
      <c r="A13" t="s">
        <v>306</v>
      </c>
      <c r="B13" s="76" t="s">
        <v>307</v>
      </c>
      <c r="C13" s="79">
        <v>-11656.02</v>
      </c>
      <c r="D13" s="79">
        <v>-26143.54</v>
      </c>
      <c r="E13" s="68"/>
    </row>
    <row r="14" spans="1:5">
      <c r="A14" t="s">
        <v>308</v>
      </c>
      <c r="B14" s="76" t="s">
        <v>309</v>
      </c>
      <c r="C14" s="79">
        <v>10305.7799999992</v>
      </c>
      <c r="D14" s="79">
        <v>91999.550000000396</v>
      </c>
    </row>
    <row r="15" spans="1:5">
      <c r="A15" t="s">
        <v>310</v>
      </c>
      <c r="B15" s="76" t="s">
        <v>311</v>
      </c>
      <c r="C15" s="79">
        <v>225057.82</v>
      </c>
      <c r="D15" s="79">
        <v>225057.82</v>
      </c>
    </row>
    <row r="16" spans="1:5">
      <c r="A16" t="s">
        <v>312</v>
      </c>
      <c r="B16" s="76" t="s">
        <v>313</v>
      </c>
      <c r="C16" s="79">
        <v>107349.38</v>
      </c>
      <c r="D16" s="79">
        <v>131720.35999999999</v>
      </c>
    </row>
    <row r="17" spans="1:5">
      <c r="A17" t="s">
        <v>314</v>
      </c>
      <c r="B17" s="76" t="s">
        <v>315</v>
      </c>
      <c r="C17" s="79">
        <v>116093.18</v>
      </c>
      <c r="D17" s="79">
        <v>116093.18</v>
      </c>
    </row>
    <row r="18" spans="1:5">
      <c r="A18" t="s">
        <v>316</v>
      </c>
      <c r="B18" s="76" t="s">
        <v>317</v>
      </c>
      <c r="C18" s="79">
        <v>25304.660000000102</v>
      </c>
      <c r="D18" s="79">
        <v>9320.1999999999698</v>
      </c>
    </row>
    <row r="19" spans="1:5">
      <c r="A19" t="s">
        <v>318</v>
      </c>
      <c r="B19" s="76" t="s">
        <v>319</v>
      </c>
      <c r="C19" s="79">
        <v>-2004.81</v>
      </c>
      <c r="D19" s="79">
        <v>-2004.81</v>
      </c>
      <c r="E19" s="68"/>
    </row>
    <row r="20" spans="1:5">
      <c r="A20" t="s">
        <v>320</v>
      </c>
      <c r="B20" s="76" t="s">
        <v>321</v>
      </c>
      <c r="C20" s="79">
        <v>-3418.8699999999799</v>
      </c>
      <c r="D20" s="79">
        <v>-10705.56</v>
      </c>
      <c r="E20" s="68"/>
    </row>
    <row r="21" spans="1:5">
      <c r="A21" t="s">
        <v>322</v>
      </c>
      <c r="B21" s="76" t="s">
        <v>323</v>
      </c>
      <c r="C21" s="79">
        <v>44388.940000001399</v>
      </c>
      <c r="D21" s="79">
        <v>0</v>
      </c>
      <c r="E21" s="68"/>
    </row>
    <row r="22" spans="1:5">
      <c r="A22" t="s">
        <v>324</v>
      </c>
      <c r="B22" s="76" t="s">
        <v>325</v>
      </c>
      <c r="C22" s="79">
        <v>-2.9999999998835802E-2</v>
      </c>
      <c r="D22" s="79">
        <v>-1048.25</v>
      </c>
      <c r="E22" s="68"/>
    </row>
    <row r="23" spans="1:5">
      <c r="A23" t="s">
        <v>326</v>
      </c>
      <c r="B23" s="76" t="s">
        <v>327</v>
      </c>
      <c r="C23" s="79">
        <v>18233.3200000004</v>
      </c>
      <c r="D23" s="79">
        <v>-31.199999999610998</v>
      </c>
      <c r="E23" s="68"/>
    </row>
    <row r="24" spans="1:5">
      <c r="A24" t="s">
        <v>328</v>
      </c>
      <c r="B24" s="76" t="s">
        <v>329</v>
      </c>
      <c r="C24" s="79">
        <v>-1064.3599999999201</v>
      </c>
      <c r="D24" s="79">
        <v>0</v>
      </c>
    </row>
    <row r="25" spans="1:5">
      <c r="A25" t="s">
        <v>330</v>
      </c>
      <c r="B25" s="76" t="s">
        <v>331</v>
      </c>
      <c r="C25" s="79">
        <v>6001.74</v>
      </c>
      <c r="D25" s="79">
        <v>0</v>
      </c>
    </row>
    <row r="26" spans="1:5">
      <c r="A26" t="s">
        <v>332</v>
      </c>
      <c r="B26" s="76" t="s">
        <v>333</v>
      </c>
      <c r="C26" s="79">
        <v>-4837.6400000000203</v>
      </c>
      <c r="D26" s="79">
        <v>0</v>
      </c>
    </row>
    <row r="27" spans="1:5">
      <c r="A27" t="s">
        <v>334</v>
      </c>
      <c r="B27" s="76" t="s">
        <v>335</v>
      </c>
      <c r="C27" s="79">
        <v>-5950</v>
      </c>
      <c r="D27" s="79">
        <v>-5950</v>
      </c>
      <c r="E27" s="68"/>
    </row>
    <row r="28" spans="1:5">
      <c r="A28" t="s">
        <v>336</v>
      </c>
      <c r="B28" s="76" t="s">
        <v>337</v>
      </c>
      <c r="C28" s="79">
        <v>-58478.02</v>
      </c>
      <c r="D28" s="79">
        <v>-58478.02</v>
      </c>
      <c r="E28" s="68"/>
    </row>
    <row r="29" spans="1:5">
      <c r="A29" t="s">
        <v>338</v>
      </c>
      <c r="B29" s="76" t="s">
        <v>339</v>
      </c>
      <c r="C29" s="79">
        <v>-9951.0300000000007</v>
      </c>
      <c r="D29" s="79">
        <v>-12579.89</v>
      </c>
      <c r="E29" s="68"/>
    </row>
    <row r="30" spans="1:5">
      <c r="A30" t="s">
        <v>340</v>
      </c>
      <c r="B30" s="76" t="s">
        <v>341</v>
      </c>
      <c r="C30" s="79">
        <v>-134753.60999999999</v>
      </c>
      <c r="D30" s="79">
        <v>0</v>
      </c>
    </row>
    <row r="31" spans="1:5">
      <c r="A31" t="s">
        <v>342</v>
      </c>
      <c r="B31" s="76" t="s">
        <v>343</v>
      </c>
      <c r="C31" s="79">
        <v>-991</v>
      </c>
      <c r="D31" s="79">
        <v>0</v>
      </c>
    </row>
    <row r="32" spans="1:5">
      <c r="A32" s="71" t="s">
        <v>345</v>
      </c>
      <c r="B32" s="77"/>
      <c r="C32" s="79">
        <v>-17581.129999999899</v>
      </c>
      <c r="D32" s="79">
        <v>0</v>
      </c>
    </row>
    <row r="33" spans="1:5" ht="15.75" thickBot="1">
      <c r="A33" s="69"/>
      <c r="B33" s="69"/>
      <c r="C33" s="80"/>
      <c r="D33" s="80">
        <v>0</v>
      </c>
    </row>
    <row r="34" spans="1:5" ht="15.75" thickTop="1">
      <c r="A34" s="71" t="s">
        <v>432</v>
      </c>
      <c r="B34" s="69"/>
      <c r="C34" s="58">
        <v>40353.99999999837</v>
      </c>
      <c r="D34" s="58">
        <v>-17581.130000002217</v>
      </c>
      <c r="E34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begroting 2022</vt:lpstr>
      <vt:lpstr>Cijfers 2024</vt:lpstr>
      <vt:lpstr>Nationale wedstrijden</vt:lpstr>
      <vt:lpstr>OLA</vt:lpstr>
      <vt:lpstr>Ledenaantallen</vt:lpstr>
      <vt:lpstr>NC</vt:lpstr>
      <vt:lpstr>2021</vt:lpstr>
      <vt:lpstr>Vertaaltabel</vt:lpstr>
      <vt:lpstr>Balans 21&amp;22</vt:lpstr>
      <vt:lpstr>W&amp;V 21&amp;22&amp;23</vt:lpstr>
      <vt:lpstr>W&amp;V 23-24</vt:lpstr>
      <vt:lpstr>Draaitabel 2024</vt:lpstr>
      <vt:lpstr>DT 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Gerrit Tigchelaar - Hiltex Technische Weefsels</dc:creator>
  <cp:lastModifiedBy>info@vandeveen.nl</cp:lastModifiedBy>
  <cp:lastPrinted>2024-11-05T12:08:16Z</cp:lastPrinted>
  <dcterms:created xsi:type="dcterms:W3CDTF">2021-10-08T06:44:01Z</dcterms:created>
  <dcterms:modified xsi:type="dcterms:W3CDTF">2024-11-05T12:23:01Z</dcterms:modified>
</cp:coreProperties>
</file>